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9420" windowHeight="4500"/>
  </bookViews>
  <sheets>
    <sheet name="ENG ALIMENTOS" sheetId="5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G22" i="5" l="1"/>
  <c r="B22" i="5"/>
  <c r="F22" i="5"/>
  <c r="M9" i="5" l="1"/>
  <c r="M11" i="5"/>
  <c r="M12" i="5"/>
  <c r="M17" i="5"/>
  <c r="M18" i="5"/>
  <c r="M19" i="5"/>
  <c r="M20" i="5"/>
  <c r="M21" i="5"/>
  <c r="L9" i="5"/>
  <c r="L11" i="5"/>
  <c r="L12" i="5"/>
  <c r="L17" i="5"/>
  <c r="L18" i="5"/>
  <c r="L19" i="5"/>
  <c r="L20" i="5"/>
  <c r="L21" i="5"/>
  <c r="K14" i="5"/>
  <c r="K15" i="5"/>
  <c r="K16" i="5"/>
  <c r="K17" i="5"/>
  <c r="K18" i="5"/>
  <c r="K19" i="5"/>
  <c r="K20" i="5"/>
  <c r="K21" i="5"/>
  <c r="K9" i="5"/>
  <c r="K10" i="5"/>
  <c r="K11" i="5"/>
  <c r="K12" i="5"/>
  <c r="K13" i="5"/>
  <c r="K6" i="5" l="1"/>
  <c r="K7" i="5"/>
  <c r="K8" i="5"/>
  <c r="AC95" i="5" l="1"/>
  <c r="AG93" i="5" s="1"/>
  <c r="AC21" i="5"/>
  <c r="AU19" i="5"/>
  <c r="AC17" i="5"/>
  <c r="AC14" i="5"/>
  <c r="AC13" i="5"/>
  <c r="E22" i="5"/>
  <c r="D22" i="5"/>
  <c r="C22" i="5"/>
  <c r="CK21" i="5"/>
  <c r="CJ21" i="5"/>
  <c r="CI21" i="5"/>
  <c r="CG21" i="5"/>
  <c r="CF21" i="5"/>
  <c r="CE21" i="5"/>
  <c r="CH21" i="5" s="1"/>
  <c r="CD21" i="5"/>
  <c r="AV21" i="5"/>
  <c r="AU21" i="5"/>
  <c r="CK20" i="5"/>
  <c r="CJ20" i="5"/>
  <c r="CI20" i="5"/>
  <c r="CG20" i="5"/>
  <c r="CF20" i="5"/>
  <c r="CE20" i="5"/>
  <c r="CD20" i="5"/>
  <c r="AU20" i="5"/>
  <c r="AT20" i="5"/>
  <c r="AV20" i="5"/>
  <c r="CK19" i="5"/>
  <c r="CJ19" i="5"/>
  <c r="CI19" i="5"/>
  <c r="CG19" i="5"/>
  <c r="CF19" i="5"/>
  <c r="CE19" i="5"/>
  <c r="CH19" i="5" s="1"/>
  <c r="CD19" i="5"/>
  <c r="AV19" i="5"/>
  <c r="AT19" i="5"/>
  <c r="CK18" i="5"/>
  <c r="CJ18" i="5"/>
  <c r="CI18" i="5"/>
  <c r="CG18" i="5"/>
  <c r="CF18" i="5"/>
  <c r="CE18" i="5"/>
  <c r="CD18" i="5"/>
  <c r="AV18" i="5"/>
  <c r="AU18" i="5"/>
  <c r="AC18" i="5"/>
  <c r="AI18" i="5" s="1"/>
  <c r="CK17" i="5"/>
  <c r="CJ17" i="5"/>
  <c r="CI17" i="5"/>
  <c r="CG17" i="5"/>
  <c r="CF17" i="5"/>
  <c r="CE17" i="5"/>
  <c r="CD17" i="5"/>
  <c r="CH17" i="5" s="1"/>
  <c r="AU17" i="5"/>
  <c r="AT17" i="5"/>
  <c r="CK16" i="5"/>
  <c r="CJ16" i="5"/>
  <c r="CI16" i="5"/>
  <c r="CG16" i="5"/>
  <c r="CF16" i="5"/>
  <c r="CH16" i="5" s="1"/>
  <c r="CE16" i="5"/>
  <c r="CD16" i="5"/>
  <c r="AV16" i="5"/>
  <c r="AT16" i="5"/>
  <c r="AC16" i="5"/>
  <c r="AL16" i="5" s="1"/>
  <c r="CG15" i="5"/>
  <c r="CF15" i="5"/>
  <c r="CE15" i="5"/>
  <c r="CD15" i="5"/>
  <c r="AV15" i="5"/>
  <c r="AU15" i="5"/>
  <c r="AC15" i="5"/>
  <c r="AE15" i="5" s="1"/>
  <c r="CW14" i="5"/>
  <c r="CK14" i="5"/>
  <c r="CJ14" i="5"/>
  <c r="CI14" i="5"/>
  <c r="CG14" i="5"/>
  <c r="CF14" i="5"/>
  <c r="CE14" i="5"/>
  <c r="CD14" i="5"/>
  <c r="AV14" i="5"/>
  <c r="AU14" i="5"/>
  <c r="AV13" i="5"/>
  <c r="AT13" i="5"/>
  <c r="CK12" i="5"/>
  <c r="CJ12" i="5"/>
  <c r="CI12" i="5"/>
  <c r="CG12" i="5"/>
  <c r="CF12" i="5"/>
  <c r="CE12" i="5"/>
  <c r="CD12" i="5"/>
  <c r="AV12" i="5"/>
  <c r="AU12" i="5"/>
  <c r="AT12" i="5"/>
  <c r="CK11" i="5"/>
  <c r="CJ11" i="5"/>
  <c r="CI11" i="5"/>
  <c r="CG11" i="5"/>
  <c r="CF11" i="5"/>
  <c r="CE11" i="5"/>
  <c r="CH11" i="5" s="1"/>
  <c r="CD11" i="5"/>
  <c r="AU11" i="5"/>
  <c r="AT11" i="5"/>
  <c r="CK10" i="5"/>
  <c r="CJ10" i="5"/>
  <c r="CI10" i="5"/>
  <c r="CG10" i="5"/>
  <c r="CF10" i="5"/>
  <c r="CE10" i="5"/>
  <c r="CD10" i="5"/>
  <c r="CH10" i="5"/>
  <c r="AV10" i="5"/>
  <c r="AT10" i="5"/>
  <c r="CK9" i="5"/>
  <c r="CJ9" i="5"/>
  <c r="CI9" i="5"/>
  <c r="AV9" i="5"/>
  <c r="AU9" i="5"/>
  <c r="CK8" i="5"/>
  <c r="CJ8" i="5"/>
  <c r="CI8" i="5"/>
  <c r="CG8" i="5"/>
  <c r="CF8" i="5"/>
  <c r="CH8" i="5" s="1"/>
  <c r="CE8" i="5"/>
  <c r="CD8" i="5"/>
  <c r="AU8" i="5"/>
  <c r="CK7" i="5"/>
  <c r="CJ7" i="5"/>
  <c r="CI7" i="5"/>
  <c r="CG7" i="5"/>
  <c r="CF7" i="5"/>
  <c r="CE7" i="5"/>
  <c r="CD7" i="5"/>
  <c r="AV7" i="5"/>
  <c r="AT7" i="5"/>
  <c r="CK6" i="5"/>
  <c r="CJ6" i="5"/>
  <c r="CI6" i="5"/>
  <c r="AZ6" i="5"/>
  <c r="AU6" i="5"/>
  <c r="AC12" i="5"/>
  <c r="AF12" i="5" s="1"/>
  <c r="AU13" i="5"/>
  <c r="AT15" i="5"/>
  <c r="AT18" i="5"/>
  <c r="AC20" i="5"/>
  <c r="AE20" i="5" s="1"/>
  <c r="AT8" i="5"/>
  <c r="AK18" i="5"/>
  <c r="AT14" i="5"/>
  <c r="AU16" i="5"/>
  <c r="AK16" i="5" l="1"/>
  <c r="AE16" i="5"/>
  <c r="AI16" i="5"/>
  <c r="CH7" i="5"/>
  <c r="CH14" i="5"/>
  <c r="CH18" i="5"/>
  <c r="CH20" i="5"/>
  <c r="CH12" i="5"/>
  <c r="CH15" i="5"/>
  <c r="AD20" i="5"/>
  <c r="AF15" i="5"/>
  <c r="AG15" i="5" s="1"/>
  <c r="AD15" i="5"/>
  <c r="AK15" i="5"/>
  <c r="AL20" i="5"/>
  <c r="AL15" i="5"/>
  <c r="AC8" i="5"/>
  <c r="AL8" i="5" s="1"/>
  <c r="AU10" i="5"/>
  <c r="AV11" i="5"/>
  <c r="AC7" i="5"/>
  <c r="AL7" i="5" s="1"/>
  <c r="I22" i="5"/>
  <c r="K85" i="5" s="1"/>
  <c r="AC6" i="5"/>
  <c r="AI6" i="5" s="1"/>
  <c r="H22" i="5"/>
  <c r="K82" i="5" s="1"/>
  <c r="AT9" i="5"/>
  <c r="AI12" i="5"/>
  <c r="AE12" i="5"/>
  <c r="AG12" i="5" s="1"/>
  <c r="AC11" i="5"/>
  <c r="AL11" i="5" s="1"/>
  <c r="AT6" i="5"/>
  <c r="AG91" i="5"/>
  <c r="AH16" i="5"/>
  <c r="AH15" i="5"/>
  <c r="AF16" i="5"/>
  <c r="AG16" i="5" s="1"/>
  <c r="AD16" i="5"/>
  <c r="AV8" i="5"/>
  <c r="AF14" i="5"/>
  <c r="AH14" i="5"/>
  <c r="AL14" i="5"/>
  <c r="AE14" i="5"/>
  <c r="AK14" i="5"/>
  <c r="AI14" i="5"/>
  <c r="AD14" i="5"/>
  <c r="AH13" i="5"/>
  <c r="AL13" i="5"/>
  <c r="AD13" i="5"/>
  <c r="AI13" i="5"/>
  <c r="AK13" i="5"/>
  <c r="AF13" i="5"/>
  <c r="AE13" i="5"/>
  <c r="AI17" i="5"/>
  <c r="AF17" i="5"/>
  <c r="AK17" i="5"/>
  <c r="AD17" i="5"/>
  <c r="AE17" i="5"/>
  <c r="AL17" i="5"/>
  <c r="AH17" i="5"/>
  <c r="AL21" i="5"/>
  <c r="AD21" i="5"/>
  <c r="AI21" i="5"/>
  <c r="K22" i="5"/>
  <c r="AF18" i="5"/>
  <c r="AL18" i="5"/>
  <c r="AM18" i="5" s="1"/>
  <c r="AM16" i="5"/>
  <c r="AV17" i="5"/>
  <c r="AT21" i="5"/>
  <c r="AH12" i="5"/>
  <c r="AJ12" i="5" s="1"/>
  <c r="AG90" i="5"/>
  <c r="AI20" i="5"/>
  <c r="AH20" i="5"/>
  <c r="AD18" i="5"/>
  <c r="AH18" i="5"/>
  <c r="AJ18" i="5" s="1"/>
  <c r="AC9" i="5"/>
  <c r="AK12" i="5"/>
  <c r="AD12" i="5"/>
  <c r="AK20" i="5"/>
  <c r="AE18" i="5"/>
  <c r="AI15" i="5"/>
  <c r="AC10" i="5"/>
  <c r="AK10" i="5" s="1"/>
  <c r="AC19" i="5"/>
  <c r="AE19" i="5" s="1"/>
  <c r="AK21" i="5"/>
  <c r="AH21" i="5"/>
  <c r="AF21" i="5"/>
  <c r="AE21" i="5"/>
  <c r="AF20" i="5"/>
  <c r="AG20" i="5" s="1"/>
  <c r="AL12" i="5"/>
  <c r="AV6" i="5"/>
  <c r="AU7" i="5"/>
  <c r="AJ16" i="5" l="1"/>
  <c r="AN16" i="5" s="1"/>
  <c r="AI7" i="5"/>
  <c r="AM20" i="5"/>
  <c r="AJ20" i="5"/>
  <c r="AN20" i="5" s="1"/>
  <c r="AM15" i="5"/>
  <c r="AJ15" i="5"/>
  <c r="AG17" i="5"/>
  <c r="AM21" i="5"/>
  <c r="AJ17" i="5"/>
  <c r="AM17" i="5"/>
  <c r="AD6" i="5"/>
  <c r="AF6" i="5"/>
  <c r="AL6" i="5"/>
  <c r="AK6" i="5"/>
  <c r="AD8" i="5"/>
  <c r="AI8" i="5"/>
  <c r="AE8" i="5"/>
  <c r="AH8" i="5"/>
  <c r="AK8" i="5"/>
  <c r="AM8" i="5" s="1"/>
  <c r="AK7" i="5"/>
  <c r="AM7" i="5" s="1"/>
  <c r="AH6" i="5"/>
  <c r="AJ6" i="5" s="1"/>
  <c r="AF11" i="5"/>
  <c r="AU22" i="5"/>
  <c r="AA92" i="5" s="1"/>
  <c r="AD7" i="5"/>
  <c r="AF7" i="5"/>
  <c r="AE11" i="5"/>
  <c r="AG11" i="5" s="1"/>
  <c r="J22" i="5"/>
  <c r="K88" i="5" s="1"/>
  <c r="AE7" i="5"/>
  <c r="AM12" i="5"/>
  <c r="AN12" i="5" s="1"/>
  <c r="AH7" i="5"/>
  <c r="AJ7" i="5" s="1"/>
  <c r="AE6" i="5"/>
  <c r="AF8" i="5"/>
  <c r="AT22" i="5"/>
  <c r="AA90" i="5" s="1"/>
  <c r="AK11" i="5"/>
  <c r="AM11" i="5" s="1"/>
  <c r="AI11" i="5"/>
  <c r="AH11" i="5"/>
  <c r="AD11" i="5"/>
  <c r="AM14" i="5"/>
  <c r="AG18" i="5"/>
  <c r="AN18" i="5" s="1"/>
  <c r="AP18" i="5" s="1"/>
  <c r="AJ13" i="5"/>
  <c r="AL19" i="5"/>
  <c r="AK19" i="5"/>
  <c r="AI19" i="5"/>
  <c r="AH19" i="5"/>
  <c r="AV22" i="5"/>
  <c r="AA93" i="5" s="1"/>
  <c r="AF19" i="5"/>
  <c r="AG19" i="5" s="1"/>
  <c r="AM13" i="5"/>
  <c r="AG14" i="5"/>
  <c r="AL10" i="5"/>
  <c r="AM10" i="5" s="1"/>
  <c r="AE10" i="5"/>
  <c r="AF10" i="5"/>
  <c r="AI10" i="5"/>
  <c r="AD10" i="5"/>
  <c r="AL9" i="5"/>
  <c r="AI9" i="5"/>
  <c r="AD9" i="5"/>
  <c r="AH9" i="5"/>
  <c r="AK9" i="5"/>
  <c r="AE9" i="5"/>
  <c r="AF9" i="5"/>
  <c r="AD19" i="5"/>
  <c r="AH10" i="5"/>
  <c r="AJ21" i="5"/>
  <c r="AG13" i="5"/>
  <c r="AJ14" i="5"/>
  <c r="AG21" i="5"/>
  <c r="AN21" i="5" s="1"/>
  <c r="AQ21" i="5" s="1"/>
  <c r="AO16" i="5" l="1"/>
  <c r="L16" i="5"/>
  <c r="AR16" i="5"/>
  <c r="AN15" i="5"/>
  <c r="L15" i="5" s="1"/>
  <c r="AP20" i="5"/>
  <c r="AR20" i="5"/>
  <c r="AO20" i="5"/>
  <c r="AS20" i="5" s="1"/>
  <c r="AR18" i="5"/>
  <c r="AQ18" i="5"/>
  <c r="AN17" i="5"/>
  <c r="AO17" i="5" s="1"/>
  <c r="AP21" i="5"/>
  <c r="AQ16" i="5"/>
  <c r="AQ20" i="5"/>
  <c r="AM19" i="5"/>
  <c r="AN19" i="5" s="1"/>
  <c r="AM6" i="5"/>
  <c r="AG6" i="5"/>
  <c r="AJ8" i="5"/>
  <c r="AA98" i="5"/>
  <c r="AY13" i="5" s="1"/>
  <c r="CI13" i="5" s="1"/>
  <c r="AG8" i="5"/>
  <c r="AG7" i="5"/>
  <c r="AN7" i="5" s="1"/>
  <c r="AP7" i="5" s="1"/>
  <c r="AP12" i="5"/>
  <c r="AO12" i="5"/>
  <c r="AA96" i="5"/>
  <c r="AM9" i="5"/>
  <c r="AJ11" i="5"/>
  <c r="AN11" i="5" s="1"/>
  <c r="AQ12" i="5"/>
  <c r="AR21" i="5"/>
  <c r="AP16" i="5"/>
  <c r="AR12" i="5"/>
  <c r="AO21" i="5"/>
  <c r="AO18" i="5"/>
  <c r="AN14" i="5"/>
  <c r="AJ19" i="5"/>
  <c r="AJ10" i="5"/>
  <c r="AG9" i="5"/>
  <c r="AO14" i="5"/>
  <c r="AG10" i="5"/>
  <c r="AN13" i="5"/>
  <c r="L13" i="5" s="1"/>
  <c r="AQ17" i="5"/>
  <c r="AJ9" i="5"/>
  <c r="AP15" i="5" l="1"/>
  <c r="AQ15" i="5"/>
  <c r="AO15" i="5"/>
  <c r="AR15" i="5"/>
  <c r="AQ14" i="5"/>
  <c r="L14" i="5"/>
  <c r="AS18" i="5"/>
  <c r="AP17" i="5"/>
  <c r="AS21" i="5"/>
  <c r="AR17" i="5"/>
  <c r="BC79" i="5"/>
  <c r="BH14" i="5"/>
  <c r="BJ14" i="5" s="1"/>
  <c r="AR19" i="5"/>
  <c r="AP19" i="5"/>
  <c r="AO19" i="5"/>
  <c r="AS16" i="5"/>
  <c r="M16" i="5" s="1"/>
  <c r="AS12" i="5"/>
  <c r="CK13" i="5"/>
  <c r="BE14" i="5"/>
  <c r="BG14" i="5" s="1"/>
  <c r="BL13" i="5"/>
  <c r="BE15" i="5"/>
  <c r="BF15" i="5" s="1"/>
  <c r="BG15" i="5" s="1"/>
  <c r="BO13" i="5"/>
  <c r="BH13" i="5"/>
  <c r="BN14" i="5"/>
  <c r="BP14" i="5" s="1"/>
  <c r="BK13" i="5"/>
  <c r="BQ14" i="5"/>
  <c r="BS14" i="5" s="1"/>
  <c r="BN15" i="5"/>
  <c r="BO15" i="5" s="1"/>
  <c r="BP15" i="5" s="1"/>
  <c r="AY15" i="5"/>
  <c r="CK15" i="5" s="1"/>
  <c r="BI13" i="5"/>
  <c r="AN6" i="5"/>
  <c r="AR6" i="5" s="1"/>
  <c r="BQ13" i="5"/>
  <c r="BN13" i="5"/>
  <c r="BA79" i="5"/>
  <c r="BB79" i="5" s="1"/>
  <c r="BF13" i="5"/>
  <c r="BE13" i="5"/>
  <c r="CJ13" i="5"/>
  <c r="CN13" i="5"/>
  <c r="CU13" i="5" s="1"/>
  <c r="CU14" i="5" s="1"/>
  <c r="BK14" i="5"/>
  <c r="BM14" i="5" s="1"/>
  <c r="BR13" i="5"/>
  <c r="AN8" i="5"/>
  <c r="L8" i="5" s="1"/>
  <c r="AN10" i="5"/>
  <c r="AN9" i="5"/>
  <c r="AQ11" i="5"/>
  <c r="AO11" i="5"/>
  <c r="AP11" i="5"/>
  <c r="AR11" i="5"/>
  <c r="AP14" i="5"/>
  <c r="AQ19" i="5"/>
  <c r="AR14" i="5"/>
  <c r="L7" i="5"/>
  <c r="AO7" i="5"/>
  <c r="AR7" i="5"/>
  <c r="AQ7" i="5"/>
  <c r="AQ13" i="5"/>
  <c r="AR13" i="5"/>
  <c r="AP13" i="5"/>
  <c r="AO13" i="5"/>
  <c r="BA18" i="5" l="1"/>
  <c r="BB18" i="5" s="1"/>
  <c r="CT19" i="5" s="1"/>
  <c r="AS15" i="5"/>
  <c r="M15" i="5" s="1"/>
  <c r="BD79" i="5"/>
  <c r="BM13" i="5"/>
  <c r="BM80" i="5" s="1"/>
  <c r="BL81" i="5" s="1"/>
  <c r="AP10" i="5"/>
  <c r="L10" i="5"/>
  <c r="AS19" i="5"/>
  <c r="AS17" i="5"/>
  <c r="AS14" i="5"/>
  <c r="M14" i="5" s="1"/>
  <c r="AQ10" i="5"/>
  <c r="BA15" i="5"/>
  <c r="BB15" i="5" s="1"/>
  <c r="L6" i="5"/>
  <c r="AO6" i="5"/>
  <c r="BA22" i="5"/>
  <c r="BB22" i="5" s="1"/>
  <c r="CT79" i="5" s="1"/>
  <c r="CK22" i="5"/>
  <c r="BA17" i="5"/>
  <c r="BB17" i="5" s="1"/>
  <c r="CT18" i="5" s="1"/>
  <c r="BA13" i="5"/>
  <c r="BX13" i="5" s="1"/>
  <c r="CN14" i="5"/>
  <c r="CP80" i="5" s="1"/>
  <c r="CP81" i="5" s="1"/>
  <c r="BG13" i="5"/>
  <c r="BG80" i="5" s="1"/>
  <c r="BF81" i="5" s="1"/>
  <c r="AG89" i="5" s="1"/>
  <c r="BJ13" i="5"/>
  <c r="BJ80" i="5" s="1"/>
  <c r="BI81" i="5" s="1"/>
  <c r="CU15" i="5"/>
  <c r="CU16" i="5" s="1"/>
  <c r="BA19" i="5"/>
  <c r="BB19" i="5" s="1"/>
  <c r="CT20" i="5" s="1"/>
  <c r="BA21" i="5"/>
  <c r="BB21" i="5" s="1"/>
  <c r="CT22" i="5" s="1"/>
  <c r="BP13" i="5"/>
  <c r="BP80" i="5" s="1"/>
  <c r="BO81" i="5" s="1"/>
  <c r="AG92" i="5" s="1"/>
  <c r="BS13" i="5"/>
  <c r="BS80" i="5" s="1"/>
  <c r="BR81" i="5" s="1"/>
  <c r="CJ15" i="5"/>
  <c r="CJ22" i="5" s="1"/>
  <c r="CI15" i="5"/>
  <c r="CI22" i="5" s="1"/>
  <c r="AP6" i="5"/>
  <c r="BA14" i="5"/>
  <c r="BB14" i="5" s="1"/>
  <c r="BD14" i="5" s="1"/>
  <c r="AQ6" i="5"/>
  <c r="BA16" i="5"/>
  <c r="BB16" i="5" s="1"/>
  <c r="CT17" i="5" s="1"/>
  <c r="BA20" i="5"/>
  <c r="BB20" i="5" s="1"/>
  <c r="CT21" i="5" s="1"/>
  <c r="AR8" i="5"/>
  <c r="AO8" i="5"/>
  <c r="AQ8" i="5"/>
  <c r="AP8" i="5"/>
  <c r="AR10" i="5"/>
  <c r="AO10" i="5"/>
  <c r="AS11" i="5"/>
  <c r="AO9" i="5"/>
  <c r="AP9" i="5"/>
  <c r="AQ9" i="5"/>
  <c r="AR9" i="5"/>
  <c r="AS7" i="5"/>
  <c r="M7" i="5" s="1"/>
  <c r="AS13" i="5"/>
  <c r="M13" i="5" s="1"/>
  <c r="AS10" i="5" l="1"/>
  <c r="M10" i="5" s="1"/>
  <c r="BD15" i="5"/>
  <c r="AS6" i="5"/>
  <c r="M6" i="5" s="1"/>
  <c r="BB13" i="5"/>
  <c r="BD13" i="5" s="1"/>
  <c r="BU13" i="5"/>
  <c r="CN15" i="5"/>
  <c r="CT16" i="5" s="1"/>
  <c r="BT13" i="5"/>
  <c r="BW13" i="5"/>
  <c r="BY13" i="5" s="1"/>
  <c r="CT15" i="5"/>
  <c r="AS8" i="5"/>
  <c r="M8" i="5" s="1"/>
  <c r="AS9" i="5"/>
  <c r="BB80" i="5"/>
  <c r="BD16" i="5"/>
  <c r="CU17" i="5"/>
  <c r="BV13" i="5" l="1"/>
  <c r="CC13" i="5" s="1"/>
  <c r="CT14" i="5"/>
  <c r="BD17" i="5"/>
  <c r="CU18" i="5"/>
  <c r="CF13" i="5" l="1"/>
  <c r="CE13" i="5"/>
  <c r="CG13" i="5"/>
  <c r="CD13" i="5"/>
  <c r="BD18" i="5"/>
  <c r="CU19" i="5"/>
  <c r="CH13" i="5" l="1"/>
  <c r="BD19" i="5"/>
  <c r="CU20" i="5"/>
  <c r="BD20" i="5" l="1"/>
  <c r="CU21" i="5"/>
  <c r="BD21" i="5" l="1"/>
  <c r="CU22" i="5"/>
  <c r="BD22" i="5" l="1"/>
  <c r="BD80" i="5" s="1"/>
  <c r="BB81" i="5" s="1"/>
  <c r="AG88" i="5" s="1"/>
  <c r="AG94" i="5" s="1"/>
  <c r="C91" i="5" s="1"/>
  <c r="CU79" i="5"/>
  <c r="L93" i="5" l="1"/>
  <c r="K84" i="5"/>
  <c r="K87" i="5"/>
  <c r="K81" i="5"/>
  <c r="B96" i="5"/>
  <c r="BA6" i="5"/>
  <c r="BT6" i="5" l="1"/>
  <c r="BW6" i="5"/>
  <c r="BQ6" i="5"/>
  <c r="BR6" i="5"/>
  <c r="BE6" i="5"/>
  <c r="BK6" i="5"/>
  <c r="BH6" i="5"/>
  <c r="BN6" i="5"/>
  <c r="BO6" i="5"/>
  <c r="BF6" i="5"/>
  <c r="BB6" i="5"/>
  <c r="BX6" i="5"/>
  <c r="CA6" i="5"/>
  <c r="BZ6" i="5"/>
  <c r="BU6" i="5"/>
  <c r="BL6" i="5"/>
  <c r="BC6" i="5"/>
  <c r="BI6" i="5"/>
  <c r="BA9" i="5"/>
  <c r="M79" i="5"/>
  <c r="BP6" i="5" l="1"/>
  <c r="CB6" i="5"/>
  <c r="BY6" i="5"/>
  <c r="BC9" i="5"/>
  <c r="BB9" i="5"/>
  <c r="BQ9" i="5"/>
  <c r="BK9" i="5"/>
  <c r="BH9" i="5"/>
  <c r="BE9" i="5"/>
  <c r="BT9" i="5"/>
  <c r="BW9" i="5"/>
  <c r="BN9" i="5"/>
  <c r="BZ9" i="5"/>
  <c r="CB9" i="5" s="1"/>
  <c r="BF9" i="5"/>
  <c r="BU9" i="5"/>
  <c r="BR9" i="5"/>
  <c r="BL9" i="5"/>
  <c r="BI9" i="5"/>
  <c r="BO9" i="5"/>
  <c r="BX9" i="5"/>
  <c r="BM6" i="5"/>
  <c r="BD6" i="5"/>
  <c r="BJ6" i="5"/>
  <c r="BG6" i="5"/>
  <c r="BS6" i="5"/>
  <c r="BV6" i="5"/>
  <c r="BD9" i="5" l="1"/>
  <c r="CC6" i="5"/>
  <c r="BP9" i="5"/>
  <c r="BV9" i="5"/>
  <c r="BJ9" i="5"/>
  <c r="BS9" i="5"/>
  <c r="BY9" i="5"/>
  <c r="BG9" i="5"/>
  <c r="BM9" i="5"/>
  <c r="CE6" i="5" l="1"/>
  <c r="CG6" i="5"/>
  <c r="CF6" i="5"/>
  <c r="D93" i="5"/>
  <c r="CD6" i="5"/>
  <c r="CC9" i="5"/>
  <c r="CH6" i="5" l="1"/>
  <c r="CD9" i="5"/>
  <c r="CF9" i="5"/>
  <c r="CG9" i="5"/>
  <c r="CE9" i="5"/>
  <c r="D95" i="5"/>
  <c r="D96" i="5" s="1"/>
  <c r="L22" i="5" s="1"/>
  <c r="CH9" i="5" l="1"/>
</calcChain>
</file>

<file path=xl/sharedStrings.xml><?xml version="1.0" encoding="utf-8"?>
<sst xmlns="http://schemas.openxmlformats.org/spreadsheetml/2006/main" count="143" uniqueCount="78">
  <si>
    <t>Circuitos</t>
  </si>
  <si>
    <t xml:space="preserve">  Lâmpadas</t>
  </si>
  <si>
    <t xml:space="preserve">  Tomadas</t>
  </si>
  <si>
    <t>Total(W)</t>
  </si>
  <si>
    <t>Fio (mm²)</t>
  </si>
  <si>
    <t>Disjuntor(A)</t>
  </si>
  <si>
    <t>Fase</t>
  </si>
  <si>
    <t>TOTAL</t>
  </si>
  <si>
    <t>DISTANCIA</t>
  </si>
  <si>
    <t>D(m)</t>
  </si>
  <si>
    <t>W*D(m)</t>
  </si>
  <si>
    <t>FIO mm²</t>
  </si>
  <si>
    <t>1,5mm²</t>
  </si>
  <si>
    <t xml:space="preserve">2,5mm² </t>
  </si>
  <si>
    <t>4,0mm²</t>
  </si>
  <si>
    <t>6,0mm²</t>
  </si>
  <si>
    <t>ABC</t>
  </si>
  <si>
    <t>DISJ.10</t>
  </si>
  <si>
    <t>DISJ.20</t>
  </si>
  <si>
    <t>DISJ.25</t>
  </si>
  <si>
    <t>DIS.35</t>
  </si>
  <si>
    <t>FASE A</t>
  </si>
  <si>
    <t>FASE B</t>
  </si>
  <si>
    <t>FASE C</t>
  </si>
  <si>
    <t>Nº DA</t>
  </si>
  <si>
    <t>FASE</t>
  </si>
  <si>
    <t xml:space="preserve">    FASE MÉDIA=</t>
  </si>
  <si>
    <t>DIST. QUADRO</t>
  </si>
  <si>
    <t>FIO</t>
  </si>
  <si>
    <t>1° CRITÉRIO</t>
  </si>
  <si>
    <t>I=</t>
  </si>
  <si>
    <t>K=</t>
  </si>
  <si>
    <t>CIRCUITO MONOFÁSICO</t>
  </si>
  <si>
    <t>CIRCUITO TRIFÁSICO C/3 FIOS</t>
  </si>
  <si>
    <t>CIRCUITO 2 FASES + NEUTRO</t>
  </si>
  <si>
    <t>CIRCUITO TRIFÁSICO DE 4 FIOS</t>
  </si>
  <si>
    <t>K USADO=</t>
  </si>
  <si>
    <t>TENSÃO=</t>
  </si>
  <si>
    <t>2° CRITÉRIO</t>
  </si>
  <si>
    <t>FATOR DEMANDA=</t>
  </si>
  <si>
    <t>1º CRITÉRIO</t>
  </si>
  <si>
    <t>2º CRITÉRIO</t>
  </si>
  <si>
    <t>6mm²</t>
  </si>
  <si>
    <t xml:space="preserve">10mm² </t>
  </si>
  <si>
    <t>16,0mm²</t>
  </si>
  <si>
    <t>25,0mm²</t>
  </si>
  <si>
    <t>35mm²</t>
  </si>
  <si>
    <t xml:space="preserve">50mm² </t>
  </si>
  <si>
    <t>70,0mm²</t>
  </si>
  <si>
    <t>95,0mm²</t>
  </si>
  <si>
    <t>CALCULO DA FIAÇÃO COM QUEDA DE TENSÃO 1% PARA QUADROS DE DISTRIBUIÇÃO EXTERNO</t>
  </si>
  <si>
    <t>QUEDA TENSÃO</t>
  </si>
  <si>
    <t>%</t>
  </si>
  <si>
    <t>CORRENTE</t>
  </si>
  <si>
    <t>FIO ADOTADO</t>
  </si>
  <si>
    <t>FASE MÁXIMA=</t>
  </si>
  <si>
    <t>(USANDO A TABELA 1.7 E 1.3)</t>
  </si>
  <si>
    <t>m</t>
  </si>
  <si>
    <t>FATOR DE DEMANDA</t>
  </si>
  <si>
    <t>RESIDENCIAS</t>
  </si>
  <si>
    <t>ESCRITÓRIOS</t>
  </si>
  <si>
    <t>QUARTÉIS</t>
  </si>
  <si>
    <t>HOTÉIS</t>
  </si>
  <si>
    <t>HOSPITÁIS</t>
  </si>
  <si>
    <t>RES. COLETIVAS</t>
  </si>
  <si>
    <t>PARA CIRCUITO MONOFÁSICO  E TRIFÁSICO(CÁLCULO PARA MAIOR FASE)</t>
  </si>
  <si>
    <t>CÁLCULO DA DEMANDA</t>
  </si>
  <si>
    <t>1 - RESIDENCIAS</t>
  </si>
  <si>
    <t>2 - APARTAMENTOS</t>
  </si>
  <si>
    <t>3 - ESCRITÓRIOS</t>
  </si>
  <si>
    <t>4 - QUARTÉIS</t>
  </si>
  <si>
    <t>5 - HOTÉIS</t>
  </si>
  <si>
    <t>6 - HOSPITAIS</t>
  </si>
  <si>
    <t>CÁLCULO DAS BITOLAS (FASES SEPARADAS)</t>
  </si>
  <si>
    <t>A</t>
  </si>
  <si>
    <t>QD1 - Lab. Didático de Genética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</si>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</sst>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#,##0.0"/>
    <numFmt numFmtId="166" formatCode="0.0%"/>
    <numFmt numFmtId="167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9">
    <xf numFmtId="0" fontId="0" fillId="0" borderId="0" xfId="0"/>
    <xf numFmtId="3" fontId="3" fillId="0" borderId="0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3" fillId="0" borderId="0" xfId="0" applyFont="1" applyFill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2" xfId="0" applyFill="1" applyBorder="1" applyAlignment="1">
      <alignment horizontal="center"/>
    </xf>
    <xf numFmtId="0" fontId="7" fillId="0" borderId="6" xfId="0" applyFont="1" applyFill="1" applyBorder="1"/>
    <xf numFmtId="0" fontId="0" fillId="0" borderId="7" xfId="0" applyFill="1" applyBorder="1"/>
    <xf numFmtId="0" fontId="3" fillId="0" borderId="7" xfId="0" applyFont="1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3" fillId="0" borderId="0" xfId="0" applyFont="1" applyFill="1" applyBorder="1"/>
    <xf numFmtId="0" fontId="0" fillId="0" borderId="1" xfId="0" applyFill="1" applyBorder="1"/>
    <xf numFmtId="0" fontId="0" fillId="0" borderId="11" xfId="0" applyFill="1" applyBorder="1" applyAlignment="1">
      <alignment horizontal="center"/>
    </xf>
    <xf numFmtId="0" fontId="0" fillId="0" borderId="12" xfId="0" applyFill="1" applyBorder="1"/>
    <xf numFmtId="3" fontId="0" fillId="0" borderId="12" xfId="0" applyNumberFormat="1" applyFill="1" applyBorder="1"/>
    <xf numFmtId="4" fontId="0" fillId="0" borderId="12" xfId="0" applyNumberFormat="1" applyFill="1" applyBorder="1"/>
    <xf numFmtId="3" fontId="0" fillId="0" borderId="12" xfId="0" applyNumberForma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0" fillId="0" borderId="0" xfId="0" applyNumberFormat="1" applyFill="1"/>
    <xf numFmtId="4" fontId="0" fillId="0" borderId="0" xfId="0" applyNumberFormat="1" applyFill="1"/>
    <xf numFmtId="2" fontId="0" fillId="0" borderId="0" xfId="0" applyNumberFormat="1" applyFill="1"/>
    <xf numFmtId="2" fontId="3" fillId="0" borderId="0" xfId="0" applyNumberFormat="1" applyFont="1" applyFill="1"/>
    <xf numFmtId="0" fontId="0" fillId="0" borderId="10" xfId="0" applyFill="1" applyBorder="1"/>
    <xf numFmtId="3" fontId="0" fillId="0" borderId="0" xfId="0" applyNumberFormat="1" applyFill="1" applyBorder="1"/>
    <xf numFmtId="4" fontId="0" fillId="0" borderId="0" xfId="0" applyNumberFormat="1" applyFill="1" applyBorder="1"/>
    <xf numFmtId="2" fontId="0" fillId="0" borderId="0" xfId="0" applyNumberFormat="1" applyFill="1" applyBorder="1"/>
    <xf numFmtId="2" fontId="3" fillId="0" borderId="0" xfId="0" applyNumberFormat="1" applyFont="1" applyFill="1" applyBorder="1"/>
    <xf numFmtId="4" fontId="0" fillId="0" borderId="11" xfId="0" applyNumberFormat="1" applyFill="1" applyBorder="1"/>
    <xf numFmtId="3" fontId="0" fillId="0" borderId="11" xfId="0" applyNumberFormat="1" applyFill="1" applyBorder="1" applyAlignment="1">
      <alignment horizontal="center"/>
    </xf>
    <xf numFmtId="3" fontId="7" fillId="0" borderId="0" xfId="0" applyNumberFormat="1" applyFont="1" applyFill="1" applyBorder="1"/>
    <xf numFmtId="165" fontId="0" fillId="0" borderId="0" xfId="0" applyNumberFormat="1" applyFill="1" applyBorder="1"/>
    <xf numFmtId="0" fontId="7" fillId="0" borderId="10" xfId="0" applyFont="1" applyFill="1" applyBorder="1"/>
    <xf numFmtId="3" fontId="5" fillId="0" borderId="0" xfId="0" applyNumberFormat="1" applyFont="1" applyFill="1" applyBorder="1"/>
    <xf numFmtId="0" fontId="8" fillId="0" borderId="0" xfId="0" applyFont="1" applyFill="1"/>
    <xf numFmtId="3" fontId="0" fillId="0" borderId="6" xfId="0" applyNumberFormat="1" applyFill="1" applyBorder="1"/>
    <xf numFmtId="4" fontId="3" fillId="0" borderId="7" xfId="0" applyNumberFormat="1" applyFont="1" applyFill="1" applyBorder="1"/>
    <xf numFmtId="2" fontId="0" fillId="0" borderId="7" xfId="0" applyNumberFormat="1" applyFill="1" applyBorder="1"/>
    <xf numFmtId="2" fontId="3" fillId="0" borderId="8" xfId="0" applyNumberFormat="1" applyFont="1" applyFill="1" applyBorder="1"/>
    <xf numFmtId="2" fontId="0" fillId="0" borderId="6" xfId="0" applyNumberFormat="1" applyFill="1" applyBorder="1"/>
    <xf numFmtId="2" fontId="3" fillId="0" borderId="7" xfId="0" applyNumberFormat="1" applyFont="1" applyFill="1" applyBorder="1"/>
    <xf numFmtId="2" fontId="5" fillId="0" borderId="7" xfId="0" applyNumberFormat="1" applyFont="1" applyFill="1" applyBorder="1"/>
    <xf numFmtId="4" fontId="0" fillId="0" borderId="6" xfId="0" applyNumberFormat="1" applyFill="1" applyBorder="1"/>
    <xf numFmtId="0" fontId="5" fillId="0" borderId="0" xfId="0" applyFont="1" applyFill="1"/>
    <xf numFmtId="3" fontId="0" fillId="0" borderId="10" xfId="0" applyNumberFormat="1" applyFill="1" applyBorder="1"/>
    <xf numFmtId="1" fontId="0" fillId="0" borderId="0" xfId="0" applyNumberFormat="1" applyFill="1" applyBorder="1"/>
    <xf numFmtId="3" fontId="0" fillId="0" borderId="13" xfId="0" applyNumberFormat="1" applyFill="1" applyBorder="1"/>
    <xf numFmtId="1" fontId="3" fillId="0" borderId="1" xfId="0" applyNumberFormat="1" applyFont="1" applyFill="1" applyBorder="1"/>
    <xf numFmtId="2" fontId="0" fillId="0" borderId="10" xfId="0" applyNumberFormat="1" applyFill="1" applyBorder="1"/>
    <xf numFmtId="2" fontId="3" fillId="0" borderId="1" xfId="0" applyNumberFormat="1" applyFont="1" applyFill="1" applyBorder="1"/>
    <xf numFmtId="4" fontId="0" fillId="0" borderId="10" xfId="0" applyNumberFormat="1" applyFill="1" applyBorder="1"/>
    <xf numFmtId="1" fontId="0" fillId="0" borderId="10" xfId="0" applyNumberFormat="1" applyFill="1" applyBorder="1"/>
    <xf numFmtId="0" fontId="0" fillId="0" borderId="6" xfId="0" applyFill="1" applyBorder="1"/>
    <xf numFmtId="2" fontId="0" fillId="0" borderId="14" xfId="0" applyNumberFormat="1" applyFill="1" applyBorder="1"/>
    <xf numFmtId="2" fontId="0" fillId="0" borderId="15" xfId="0" applyNumberFormat="1" applyFill="1" applyBorder="1"/>
    <xf numFmtId="2" fontId="3" fillId="0" borderId="16" xfId="0" applyNumberFormat="1" applyFont="1" applyFill="1" applyBorder="1"/>
    <xf numFmtId="4" fontId="0" fillId="0" borderId="14" xfId="0" applyNumberFormat="1" applyFill="1" applyBorder="1"/>
    <xf numFmtId="2" fontId="3" fillId="0" borderId="15" xfId="0" applyNumberFormat="1" applyFont="1" applyFill="1" applyBorder="1"/>
    <xf numFmtId="0" fontId="0" fillId="0" borderId="15" xfId="0" applyFill="1" applyBorder="1"/>
    <xf numFmtId="0" fontId="0" fillId="0" borderId="16" xfId="0" applyFill="1" applyBorder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center"/>
    </xf>
    <xf numFmtId="0" fontId="3" fillId="0" borderId="1" xfId="0" applyFont="1" applyFill="1" applyBorder="1"/>
    <xf numFmtId="3" fontId="3" fillId="0" borderId="0" xfId="0" applyNumberFormat="1" applyFont="1" applyFill="1" applyBorder="1"/>
    <xf numFmtId="4" fontId="3" fillId="0" borderId="0" xfId="0" applyNumberFormat="1" applyFont="1" applyFill="1" applyBorder="1"/>
    <xf numFmtId="4" fontId="0" fillId="0" borderId="15" xfId="0" applyNumberFormat="1" applyFill="1" applyBorder="1"/>
    <xf numFmtId="0" fontId="0" fillId="0" borderId="14" xfId="0" applyFill="1" applyBorder="1"/>
    <xf numFmtId="0" fontId="3" fillId="0" borderId="16" xfId="0" applyFont="1" applyFill="1" applyBorder="1"/>
    <xf numFmtId="1" fontId="0" fillId="0" borderId="0" xfId="0" applyNumberFormat="1" applyFill="1"/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/>
    <xf numFmtId="0" fontId="3" fillId="0" borderId="6" xfId="0" applyFont="1" applyFill="1" applyBorder="1" applyAlignment="1">
      <alignment horizontal="left"/>
    </xf>
    <xf numFmtId="0" fontId="5" fillId="0" borderId="0" xfId="0" applyFont="1" applyFill="1" applyBorder="1"/>
    <xf numFmtId="3" fontId="0" fillId="0" borderId="1" xfId="0" applyNumberFormat="1" applyFill="1" applyBorder="1"/>
    <xf numFmtId="3" fontId="4" fillId="0" borderId="0" xfId="0" applyNumberFormat="1" applyFont="1" applyFill="1" applyBorder="1"/>
    <xf numFmtId="0" fontId="4" fillId="0" borderId="10" xfId="0" applyFont="1" applyFill="1" applyBorder="1" applyAlignment="1">
      <alignment horizontal="right"/>
    </xf>
    <xf numFmtId="0" fontId="4" fillId="0" borderId="0" xfId="0" applyFont="1" applyFill="1" applyBorder="1"/>
    <xf numFmtId="0" fontId="9" fillId="0" borderId="0" xfId="0" applyFont="1" applyFill="1" applyBorder="1"/>
    <xf numFmtId="0" fontId="4" fillId="0" borderId="0" xfId="0" applyFont="1" applyFill="1" applyBorder="1" applyAlignment="1"/>
    <xf numFmtId="4" fontId="4" fillId="0" borderId="1" xfId="0" applyNumberFormat="1" applyFont="1" applyFill="1" applyBorder="1"/>
    <xf numFmtId="0" fontId="3" fillId="0" borderId="10" xfId="0" applyFont="1" applyFill="1" applyBorder="1"/>
    <xf numFmtId="4" fontId="0" fillId="0" borderId="1" xfId="0" applyNumberFormat="1" applyFill="1" applyBorder="1"/>
    <xf numFmtId="0" fontId="0" fillId="0" borderId="10" xfId="0" applyFill="1" applyBorder="1" applyAlignment="1">
      <alignment horizontal="right"/>
    </xf>
    <xf numFmtId="3" fontId="3" fillId="0" borderId="1" xfId="0" applyNumberFormat="1" applyFont="1" applyFill="1" applyBorder="1"/>
    <xf numFmtId="0" fontId="6" fillId="0" borderId="0" xfId="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167" fontId="3" fillId="0" borderId="1" xfId="2" applyNumberFormat="1" applyFont="1" applyFill="1" applyBorder="1"/>
    <xf numFmtId="3" fontId="0" fillId="0" borderId="4" xfId="0" applyNumberFormat="1" applyFill="1" applyBorder="1"/>
    <xf numFmtId="9" fontId="0" fillId="0" borderId="4" xfId="1" applyFont="1" applyFill="1" applyBorder="1"/>
    <xf numFmtId="2" fontId="3" fillId="0" borderId="4" xfId="0" applyNumberFormat="1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166" fontId="0" fillId="0" borderId="2" xfId="1" applyNumberFormat="1" applyFont="1" applyFill="1" applyBorder="1"/>
    <xf numFmtId="0" fontId="10" fillId="0" borderId="10" xfId="0" applyFont="1" applyFill="1" applyBorder="1"/>
    <xf numFmtId="3" fontId="8" fillId="0" borderId="0" xfId="0" applyNumberFormat="1" applyFont="1" applyFill="1"/>
    <xf numFmtId="0" fontId="0" fillId="0" borderId="12" xfId="0" applyBorder="1"/>
    <xf numFmtId="0" fontId="0" fillId="0" borderId="11" xfId="0" applyBorder="1"/>
    <xf numFmtId="0" fontId="0" fillId="2" borderId="0" xfId="0" applyFill="1"/>
    <xf numFmtId="0" fontId="0" fillId="2" borderId="0" xfId="0" applyFill="1" applyAlignment="1">
      <alignment horizontal="center"/>
    </xf>
    <xf numFmtId="3" fontId="9" fillId="2" borderId="0" xfId="0" applyNumberFormat="1" applyFont="1" applyFill="1"/>
    <xf numFmtId="2" fontId="9" fillId="2" borderId="0" xfId="0" applyNumberFormat="1" applyFont="1" applyFill="1"/>
    <xf numFmtId="3" fontId="3" fillId="0" borderId="11" xfId="0" applyNumberFormat="1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W103"/>
  <sheetViews>
    <sheetView tabSelected="1" workbookViewId="0">
      <selection activeCell="F22" sqref="F22"/>
    </sheetView>
  </sheetViews>
  <sheetFormatPr defaultRowHeight="12.75" x14ac:dyDescent="0.2"/>
  <cols>
    <col min="1" max="1" width="10.28515625" style="4" customWidth="1"/>
    <col min="2" max="2" width="4.7109375" style="4" customWidth="1"/>
    <col min="3" max="3" width="4.85546875" style="4" customWidth="1"/>
    <col min="4" max="4" width="3.85546875" style="4" customWidth="1"/>
    <col min="5" max="5" width="3.7109375" style="4" customWidth="1"/>
    <col min="6" max="6" width="3.85546875" style="4" customWidth="1"/>
    <col min="7" max="7" width="4.85546875" style="4" customWidth="1"/>
    <col min="8" max="8" width="8.5703125" style="4" customWidth="1"/>
    <col min="9" max="9" width="7.7109375" style="4" customWidth="1"/>
    <col min="10" max="10" width="8.28515625" style="4" customWidth="1"/>
    <col min="11" max="11" width="9.140625" style="4"/>
    <col min="12" max="12" width="11.7109375" style="4" bestFit="1" customWidth="1"/>
    <col min="13" max="13" width="10.7109375" style="4" customWidth="1"/>
    <col min="14" max="14" width="8.85546875" style="4" customWidth="1"/>
    <col min="15" max="20" width="8.85546875" style="4" hidden="1" customWidth="1"/>
    <col min="21" max="21" width="9.140625" style="4" customWidth="1"/>
    <col min="22" max="26" width="8.85546875" style="4" hidden="1" customWidth="1"/>
    <col min="27" max="27" width="9.140625" style="4"/>
    <col min="28" max="28" width="10.5703125" style="112" customWidth="1"/>
    <col min="29" max="29" width="10.7109375" style="4" customWidth="1"/>
    <col min="30" max="54" width="9.140625" style="4"/>
    <col min="55" max="55" width="9.42578125" style="4" customWidth="1"/>
    <col min="56" max="56" width="9.140625" style="5"/>
    <col min="57" max="57" width="9.140625" style="4"/>
    <col min="58" max="58" width="10.140625" style="4" customWidth="1"/>
    <col min="59" max="61" width="9.140625" style="4"/>
    <col min="62" max="62" width="9" style="4" customWidth="1"/>
    <col min="63" max="67" width="9.140625" style="4"/>
    <col min="68" max="68" width="9.140625" style="5"/>
    <col min="69" max="70" width="9.140625" style="4"/>
    <col min="71" max="71" width="9.140625" style="5"/>
    <col min="72" max="80" width="9.140625" style="4"/>
    <col min="81" max="81" width="9.140625" style="5"/>
    <col min="82" max="16384" width="9.140625" style="4"/>
  </cols>
  <sheetData>
    <row r="3" spans="1:101" ht="27" thickBot="1" x14ac:dyDescent="0.45">
      <c r="A3" s="118" t="s">
        <v>75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99"/>
      <c r="P3" s="99"/>
      <c r="Q3" s="99"/>
      <c r="R3" s="99"/>
      <c r="S3" s="99"/>
      <c r="T3" s="3"/>
      <c r="U3" s="3"/>
      <c r="V3" s="3"/>
      <c r="W3" s="3"/>
      <c r="X3" s="3"/>
      <c r="Y3" s="3"/>
      <c r="Z3" s="3"/>
    </row>
    <row r="4" spans="1:101" ht="13.5" thickBot="1" x14ac:dyDescent="0.25">
      <c r="A4" s="6" t="s">
        <v>0</v>
      </c>
      <c r="B4" s="7" t="s">
        <v>1</v>
      </c>
      <c r="C4" s="8"/>
      <c r="D4" s="9"/>
      <c r="E4" s="7" t="s">
        <v>2</v>
      </c>
      <c r="F4" s="8"/>
      <c r="G4" s="9"/>
      <c r="H4" s="9"/>
      <c r="I4" s="9"/>
      <c r="J4" s="9"/>
      <c r="K4" s="6" t="s">
        <v>3</v>
      </c>
      <c r="L4" s="6" t="s">
        <v>4</v>
      </c>
      <c r="M4" s="6" t="s">
        <v>5</v>
      </c>
      <c r="N4" s="10" t="s">
        <v>6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 t="s">
        <v>24</v>
      </c>
      <c r="AB4" s="112" t="s">
        <v>8</v>
      </c>
      <c r="AH4" s="4" t="s">
        <v>11</v>
      </c>
      <c r="AZ4" s="11" t="s">
        <v>50</v>
      </c>
      <c r="BA4" s="12"/>
      <c r="BB4" s="12"/>
      <c r="BC4" s="12"/>
      <c r="BD4" s="13"/>
      <c r="BE4" s="12"/>
      <c r="BF4" s="12"/>
      <c r="BG4" s="12"/>
      <c r="BH4" s="12" t="s">
        <v>11</v>
      </c>
      <c r="BI4" s="12"/>
      <c r="BJ4" s="12"/>
      <c r="BK4" s="12"/>
      <c r="BL4" s="12"/>
      <c r="BM4" s="12"/>
      <c r="BN4" s="12"/>
      <c r="BO4" s="12"/>
      <c r="BP4" s="13"/>
      <c r="BQ4" s="12"/>
      <c r="BR4" s="12"/>
      <c r="BS4" s="13"/>
      <c r="BT4" s="12"/>
      <c r="BU4" s="12"/>
      <c r="BV4" s="12"/>
      <c r="BW4" s="12"/>
      <c r="BX4" s="12"/>
      <c r="BY4" s="12"/>
      <c r="BZ4" s="12"/>
      <c r="CA4" s="12"/>
      <c r="CB4" s="12"/>
      <c r="CC4" s="13"/>
      <c r="CD4" s="12"/>
      <c r="CE4" s="12"/>
      <c r="CF4" s="12"/>
      <c r="CG4" s="12"/>
      <c r="CH4" s="12"/>
      <c r="CI4" s="12"/>
      <c r="CJ4" s="12"/>
      <c r="CK4" s="12"/>
      <c r="CL4" s="14"/>
    </row>
    <row r="5" spans="1:101" ht="13.5" thickBot="1" x14ac:dyDescent="0.25">
      <c r="A5" s="15"/>
      <c r="B5" s="6">
        <v>40</v>
      </c>
      <c r="C5" s="6">
        <v>60</v>
      </c>
      <c r="D5" s="6">
        <v>100</v>
      </c>
      <c r="E5" s="6">
        <v>100</v>
      </c>
      <c r="F5" s="6">
        <v>600</v>
      </c>
      <c r="G5" s="6">
        <v>4000</v>
      </c>
      <c r="H5" s="10" t="s">
        <v>21</v>
      </c>
      <c r="I5" s="10" t="s">
        <v>22</v>
      </c>
      <c r="J5" s="10" t="s">
        <v>23</v>
      </c>
      <c r="K5" s="6"/>
      <c r="L5" s="6"/>
      <c r="M5" s="6"/>
      <c r="N5" s="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7" t="s">
        <v>25</v>
      </c>
      <c r="AB5" s="113" t="s">
        <v>9</v>
      </c>
      <c r="AC5" s="17" t="s">
        <v>10</v>
      </c>
      <c r="AD5" s="4" t="s">
        <v>12</v>
      </c>
      <c r="AE5" s="4" t="s">
        <v>13</v>
      </c>
      <c r="AF5" s="4" t="s">
        <v>13</v>
      </c>
      <c r="AG5" s="4" t="s">
        <v>13</v>
      </c>
      <c r="AH5" s="4" t="s">
        <v>14</v>
      </c>
      <c r="AI5" s="4" t="s">
        <v>14</v>
      </c>
      <c r="AJ5" s="4" t="s">
        <v>14</v>
      </c>
      <c r="AK5" s="4" t="s">
        <v>15</v>
      </c>
      <c r="AL5" s="4" t="s">
        <v>15</v>
      </c>
      <c r="AM5" s="4" t="s">
        <v>15</v>
      </c>
      <c r="AO5" s="4" t="s">
        <v>17</v>
      </c>
      <c r="AP5" s="4" t="s">
        <v>18</v>
      </c>
      <c r="AQ5" s="4" t="s">
        <v>19</v>
      </c>
      <c r="AR5" s="4" t="s">
        <v>20</v>
      </c>
      <c r="AT5" s="4" t="s">
        <v>21</v>
      </c>
      <c r="AU5" s="4" t="s">
        <v>22</v>
      </c>
      <c r="AV5" s="4" t="s">
        <v>23</v>
      </c>
      <c r="AZ5" s="18" t="s">
        <v>9</v>
      </c>
      <c r="BA5" s="19" t="s">
        <v>10</v>
      </c>
      <c r="BB5" s="19" t="s">
        <v>42</v>
      </c>
      <c r="BC5" s="19" t="s">
        <v>42</v>
      </c>
      <c r="BD5" s="20" t="s">
        <v>42</v>
      </c>
      <c r="BE5" s="16" t="s">
        <v>43</v>
      </c>
      <c r="BF5" s="16" t="s">
        <v>43</v>
      </c>
      <c r="BG5" s="16" t="s">
        <v>43</v>
      </c>
      <c r="BH5" s="16" t="s">
        <v>44</v>
      </c>
      <c r="BI5" s="16" t="s">
        <v>44</v>
      </c>
      <c r="BJ5" s="16" t="s">
        <v>44</v>
      </c>
      <c r="BK5" s="16" t="s">
        <v>45</v>
      </c>
      <c r="BL5" s="16" t="s">
        <v>45</v>
      </c>
      <c r="BM5" s="16" t="s">
        <v>45</v>
      </c>
      <c r="BN5" s="19" t="s">
        <v>46</v>
      </c>
      <c r="BO5" s="19" t="s">
        <v>46</v>
      </c>
      <c r="BP5" s="20" t="s">
        <v>46</v>
      </c>
      <c r="BQ5" s="21" t="s">
        <v>47</v>
      </c>
      <c r="BR5" s="21" t="s">
        <v>47</v>
      </c>
      <c r="BS5" s="21" t="s">
        <v>47</v>
      </c>
      <c r="BT5" s="21" t="s">
        <v>48</v>
      </c>
      <c r="BU5" s="21" t="s">
        <v>48</v>
      </c>
      <c r="BV5" s="21" t="s">
        <v>48</v>
      </c>
      <c r="BW5" s="21" t="s">
        <v>49</v>
      </c>
      <c r="BX5" s="21" t="s">
        <v>49</v>
      </c>
      <c r="BY5" s="21" t="s">
        <v>49</v>
      </c>
      <c r="BZ5" s="87" t="s">
        <v>14</v>
      </c>
      <c r="CA5" s="87" t="s">
        <v>14</v>
      </c>
      <c r="CB5" s="87" t="s">
        <v>14</v>
      </c>
      <c r="CC5" s="22"/>
      <c r="CD5" s="16" t="s">
        <v>17</v>
      </c>
      <c r="CE5" s="16" t="s">
        <v>18</v>
      </c>
      <c r="CF5" s="16" t="s">
        <v>19</v>
      </c>
      <c r="CG5" s="16" t="s">
        <v>20</v>
      </c>
      <c r="CH5" s="16"/>
      <c r="CI5" s="16" t="s">
        <v>21</v>
      </c>
      <c r="CJ5" s="16" t="s">
        <v>22</v>
      </c>
      <c r="CK5" s="16" t="s">
        <v>23</v>
      </c>
      <c r="CL5" s="23"/>
    </row>
    <row r="6" spans="1:101" x14ac:dyDescent="0.2">
      <c r="A6" s="24">
        <v>1</v>
      </c>
      <c r="B6" s="110">
        <v>18</v>
      </c>
      <c r="C6" s="110"/>
      <c r="D6" s="110"/>
      <c r="E6" s="110"/>
      <c r="F6" s="110"/>
      <c r="G6" s="110"/>
      <c r="H6" s="26"/>
      <c r="I6" s="25"/>
      <c r="J6" s="25"/>
      <c r="K6" s="26">
        <f>B6*$B$5+C6*$C$5+D6*$D$5+E6*$E$5+F6*$F$5+G6*$G$5</f>
        <v>720</v>
      </c>
      <c r="L6" s="27">
        <f>AN6</f>
        <v>1.5</v>
      </c>
      <c r="M6" s="28">
        <f>AS6</f>
        <v>10</v>
      </c>
      <c r="N6" s="117" t="s">
        <v>74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4">
        <v>1</v>
      </c>
      <c r="AB6" s="112">
        <v>20</v>
      </c>
      <c r="AC6" s="30">
        <f>K6*AB6</f>
        <v>14400</v>
      </c>
      <c r="AD6" s="31">
        <f>IF(AC6&lt;42108,1.5,0)</f>
        <v>1.5</v>
      </c>
      <c r="AE6" s="32">
        <f>IF(AC6&lt;70180,2.5,0)</f>
        <v>2.5</v>
      </c>
      <c r="AF6" s="32">
        <f>IF(AC6&gt;42108,2.5,0)</f>
        <v>0</v>
      </c>
      <c r="AG6" s="33">
        <f>IF(AE6+AF6=5,2.5,0)</f>
        <v>0</v>
      </c>
      <c r="AH6" s="32">
        <f>IF(AC6&lt;112288,4,0)</f>
        <v>4</v>
      </c>
      <c r="AI6" s="32">
        <f>IF(AC6&gt;70180,4,0)</f>
        <v>0</v>
      </c>
      <c r="AJ6" s="33">
        <f>IF(AH6+AI6=8,4,0)</f>
        <v>0</v>
      </c>
      <c r="AK6" s="32">
        <f>IF(AC6&lt;168432,6,0)</f>
        <v>6</v>
      </c>
      <c r="AL6" s="32">
        <f>IF(AC6&gt;112288,6,0)</f>
        <v>0</v>
      </c>
      <c r="AM6" s="33">
        <f>IF(AK6+AL6=12,6,0)</f>
        <v>0</v>
      </c>
      <c r="AN6" s="32">
        <f>AM6+AG6+AD6+AJ6</f>
        <v>1.5</v>
      </c>
      <c r="AO6" s="4">
        <f>IF(AN6=1.5,10,0)</f>
        <v>10</v>
      </c>
      <c r="AP6" s="4">
        <f>IF(AN6=2.5,20,0)</f>
        <v>0</v>
      </c>
      <c r="AQ6" s="4">
        <f>IF(AN6=4,25,0)</f>
        <v>0</v>
      </c>
      <c r="AR6" s="4">
        <f>IF(AN6=6,35,0)</f>
        <v>0</v>
      </c>
      <c r="AS6" s="4">
        <f>SUM(AO6:AR6)</f>
        <v>10</v>
      </c>
      <c r="AT6" s="4">
        <f>IF(AA6=1,K6,0)</f>
        <v>720</v>
      </c>
      <c r="AU6" s="4">
        <f>IF(AA6=2,K6,0)</f>
        <v>0</v>
      </c>
      <c r="AV6" s="4">
        <f>IF(AA6=3,K6,0)</f>
        <v>0</v>
      </c>
      <c r="AZ6" s="34">
        <f>$C$90</f>
        <v>20</v>
      </c>
      <c r="BA6" s="35">
        <f>$AA$98*AZ6*$C$91</f>
        <v>114600</v>
      </c>
      <c r="BB6" s="36">
        <f>IF(BA6&lt;C92*84260,6,0)</f>
        <v>6</v>
      </c>
      <c r="BC6" s="37">
        <f>IF(BA6&gt;C92*56144,6,0)</f>
        <v>6</v>
      </c>
      <c r="BD6" s="38">
        <f>IF(BB6+BC6=12,6,0)</f>
        <v>6</v>
      </c>
      <c r="BE6" s="37">
        <f>IF(BA6&lt;C92*140360,10,0)</f>
        <v>10</v>
      </c>
      <c r="BF6" s="37">
        <f>IF(BA6&gt;C92*84216,10,0)</f>
        <v>0</v>
      </c>
      <c r="BG6" s="38">
        <f>IF(BE6+BF6=20,10,0)</f>
        <v>0</v>
      </c>
      <c r="BH6" s="37">
        <f>IF(BA6&lt;C92*224576,16,0)</f>
        <v>16</v>
      </c>
      <c r="BI6" s="37">
        <f>IF(BA6&gt;C92*140360,16,0)</f>
        <v>0</v>
      </c>
      <c r="BJ6" s="38">
        <f>IF(BH6+BI6=32,16,0)</f>
        <v>0</v>
      </c>
      <c r="BK6" s="37">
        <f>IF(BA6&lt;C92*350900,25,0)</f>
        <v>25</v>
      </c>
      <c r="BL6" s="37">
        <f>IF(BA6&gt;C92*224576,25,0)</f>
        <v>0</v>
      </c>
      <c r="BM6" s="38">
        <f>IF(BK6+BL6=50,25,0)</f>
        <v>0</v>
      </c>
      <c r="BN6" s="36">
        <f>IF(C92*BA6&lt;491260,35,0)</f>
        <v>35</v>
      </c>
      <c r="BO6" s="37">
        <f>IF(BA6&gt;C92*350900,35,0)</f>
        <v>0</v>
      </c>
      <c r="BP6" s="38">
        <f>IF(BN6+BO6=70,35,0)</f>
        <v>0</v>
      </c>
      <c r="BQ6" s="37">
        <f>IF(BA6&lt;C92*701800,50,0)</f>
        <v>50</v>
      </c>
      <c r="BR6" s="37">
        <f>IF(BA6&gt;C92*491260,50,0)</f>
        <v>0</v>
      </c>
      <c r="BS6" s="38">
        <f>IF(BQ6+BR6=100,50,0)</f>
        <v>0</v>
      </c>
      <c r="BT6" s="37">
        <f>IF(BA6&lt;C92*952520,70,0)</f>
        <v>70</v>
      </c>
      <c r="BU6" s="37">
        <f>IF(BA6&gt;C92*701800,70,0)</f>
        <v>0</v>
      </c>
      <c r="BV6" s="38">
        <f>IF(BT6+BU6=140,70,0)</f>
        <v>0</v>
      </c>
      <c r="BW6" s="37">
        <f>IF(BA6&lt;C92*1333420,95,0)</f>
        <v>95</v>
      </c>
      <c r="BX6" s="37">
        <f>IF(BA6&gt;C92*982520,95,0)</f>
        <v>0</v>
      </c>
      <c r="BY6" s="38">
        <f>IF(BW6+BX6=190,95,0)</f>
        <v>0</v>
      </c>
      <c r="BZ6" s="37">
        <f>IF(BA6&lt;C92*56144,4,0)</f>
        <v>0</v>
      </c>
      <c r="CA6" s="37">
        <f>IF(BA6&gt;F92*35090,4,0)</f>
        <v>4</v>
      </c>
      <c r="CB6" s="38">
        <f>IF(BZ6+CA6=8,4,0)</f>
        <v>0</v>
      </c>
      <c r="CC6" s="38">
        <f>BD6+BG6+BJ6+BM6+BP6+BS6+BV6+BY6+CB6</f>
        <v>6</v>
      </c>
      <c r="CD6" s="16">
        <f>IF(CC6=1.5,10,0)</f>
        <v>0</v>
      </c>
      <c r="CE6" s="16">
        <f>IF(CC6=2.5,20,0)</f>
        <v>0</v>
      </c>
      <c r="CF6" s="16">
        <f>IF(CC6=4,25,0)</f>
        <v>0</v>
      </c>
      <c r="CG6" s="16">
        <f>IF(CC6=6,35,0)</f>
        <v>35</v>
      </c>
      <c r="CH6" s="16">
        <f>SUM(CD6:CG6)</f>
        <v>35</v>
      </c>
      <c r="CI6" s="16">
        <f>IF(AY6=1,AR6,0)</f>
        <v>0</v>
      </c>
      <c r="CJ6" s="16">
        <f>IF(AY6=2,AR6,0)</f>
        <v>0</v>
      </c>
      <c r="CK6" s="16">
        <f>IF(AY6=3,AR6,0)</f>
        <v>0</v>
      </c>
      <c r="CL6" s="23"/>
    </row>
    <row r="7" spans="1:101" x14ac:dyDescent="0.2">
      <c r="A7" s="24">
        <v>2</v>
      </c>
      <c r="B7" s="110"/>
      <c r="C7" s="110"/>
      <c r="D7" s="110"/>
      <c r="E7" s="110"/>
      <c r="F7" s="110">
        <v>5</v>
      </c>
      <c r="G7" s="111"/>
      <c r="H7" s="25"/>
      <c r="I7" s="26"/>
      <c r="J7" s="25"/>
      <c r="K7" s="26">
        <f>B7*$B$5+C7*$C$5+D7*$D$5+E7*$E$5+F7*$F$5+G7*$G$5</f>
        <v>3000</v>
      </c>
      <c r="L7" s="39">
        <f>AN7</f>
        <v>2.5</v>
      </c>
      <c r="M7" s="40">
        <f>AS7</f>
        <v>20</v>
      </c>
      <c r="N7" s="116" t="s">
        <v>76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4">
        <v>2</v>
      </c>
      <c r="AB7" s="112">
        <v>20</v>
      </c>
      <c r="AC7" s="30">
        <f>K7*AB7</f>
        <v>60000</v>
      </c>
      <c r="AD7" s="31">
        <f>IF(AC7&lt;42108,1.5,0)</f>
        <v>0</v>
      </c>
      <c r="AE7" s="32">
        <f>IF(AC7&lt;70180,2.5,0)</f>
        <v>2.5</v>
      </c>
      <c r="AF7" s="32">
        <f>IF(AC7&gt;42108,2.5,0)</f>
        <v>2.5</v>
      </c>
      <c r="AG7" s="33">
        <f>IF(AE7+AF7=5,2.5,0)</f>
        <v>2.5</v>
      </c>
      <c r="AH7" s="32">
        <f>IF(AC7&lt;112288,4,0)</f>
        <v>4</v>
      </c>
      <c r="AI7" s="32">
        <f>IF(AC7&gt;70180,4,0)</f>
        <v>0</v>
      </c>
      <c r="AJ7" s="33">
        <f>IF(AH7+AI7=8,4,0)</f>
        <v>0</v>
      </c>
      <c r="AK7" s="32">
        <f>IF(AC7&lt;168432,6,0)</f>
        <v>6</v>
      </c>
      <c r="AL7" s="32">
        <f>IF(AC7&gt;112288,6,0)</f>
        <v>0</v>
      </c>
      <c r="AM7" s="33">
        <f>IF(AK7+AL7=12,6,0)</f>
        <v>0</v>
      </c>
      <c r="AN7" s="32">
        <f>AM7+AG7+AD7+AJ7</f>
        <v>2.5</v>
      </c>
      <c r="AO7" s="4">
        <f>IF(AN7=1.5,10,0)</f>
        <v>0</v>
      </c>
      <c r="AP7" s="4">
        <f>IF(AN7=2.5,20,0)</f>
        <v>20</v>
      </c>
      <c r="AQ7" s="4">
        <f>IF(AN7=4,25,0)</f>
        <v>0</v>
      </c>
      <c r="AR7" s="4">
        <f>IF(AN7=6,35,0)</f>
        <v>0</v>
      </c>
      <c r="AS7" s="4">
        <f>SUM(AO7:AR7)</f>
        <v>20</v>
      </c>
      <c r="AT7" s="4">
        <f>IF(AA7=1,K7,0)</f>
        <v>0</v>
      </c>
      <c r="AU7" s="4">
        <f>IF(AA7=2,K7,0)</f>
        <v>3000</v>
      </c>
      <c r="AV7" s="4">
        <f>IF(AA7=3,K7,0)</f>
        <v>0</v>
      </c>
      <c r="AZ7" s="34"/>
      <c r="BA7" s="35"/>
      <c r="BB7" s="36"/>
      <c r="BC7" s="37"/>
      <c r="BD7" s="38"/>
      <c r="BE7" s="37"/>
      <c r="BF7" s="37"/>
      <c r="BG7" s="38"/>
      <c r="BH7" s="37"/>
      <c r="BI7" s="37"/>
      <c r="BJ7" s="38"/>
      <c r="BK7" s="37"/>
      <c r="BL7" s="37"/>
      <c r="BM7" s="38"/>
      <c r="BN7" s="36"/>
      <c r="BO7" s="37"/>
      <c r="BP7" s="38"/>
      <c r="BQ7" s="37"/>
      <c r="BR7" s="37"/>
      <c r="BS7" s="38"/>
      <c r="BT7" s="37"/>
      <c r="BU7" s="37"/>
      <c r="BV7" s="38"/>
      <c r="BW7" s="37"/>
      <c r="BX7" s="37"/>
      <c r="BY7" s="38"/>
      <c r="BZ7" s="38"/>
      <c r="CA7" s="38"/>
      <c r="CB7" s="38"/>
      <c r="CC7" s="38"/>
      <c r="CD7" s="16">
        <f>IF(CC7=1.5,10,0)</f>
        <v>0</v>
      </c>
      <c r="CE7" s="16">
        <f>IF(CC7=2.5,20,0)</f>
        <v>0</v>
      </c>
      <c r="CF7" s="16">
        <f>IF(CC7=4,25,0)</f>
        <v>0</v>
      </c>
      <c r="CG7" s="16">
        <f>IF(CC7=6,35,0)</f>
        <v>0</v>
      </c>
      <c r="CH7" s="16">
        <f>SUM(CD7:CG7)</f>
        <v>0</v>
      </c>
      <c r="CI7" s="16">
        <f>IF(AY7=1,AR7,0)</f>
        <v>0</v>
      </c>
      <c r="CJ7" s="16">
        <f>IF(AY7=2,AR7,0)</f>
        <v>0</v>
      </c>
      <c r="CK7" s="16">
        <f>IF(AY7=3,AR7,0)</f>
        <v>0</v>
      </c>
      <c r="CL7" s="23"/>
    </row>
    <row r="8" spans="1:101" x14ac:dyDescent="0.2">
      <c r="A8" s="24">
        <v>3</v>
      </c>
      <c r="B8" s="110"/>
      <c r="C8" s="110"/>
      <c r="D8" s="110"/>
      <c r="E8" s="110"/>
      <c r="F8" s="110">
        <v>5</v>
      </c>
      <c r="G8" s="111"/>
      <c r="H8" s="25"/>
      <c r="I8" s="25"/>
      <c r="J8" s="26"/>
      <c r="K8" s="26">
        <f>B8*$B$5+C8*$C$5+D8*$D$5+E8*$E$5+F8*$F$5+G8*$G$5</f>
        <v>3000</v>
      </c>
      <c r="L8" s="39">
        <f>AN8</f>
        <v>2.5</v>
      </c>
      <c r="M8" s="40">
        <f>AS8</f>
        <v>20</v>
      </c>
      <c r="N8" s="116" t="s">
        <v>77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4">
        <v>3</v>
      </c>
      <c r="AB8" s="112">
        <v>20</v>
      </c>
      <c r="AC8" s="30">
        <f>K8*AB8</f>
        <v>60000</v>
      </c>
      <c r="AD8" s="31">
        <f>IF(AC8&lt;42108,1.5,0)</f>
        <v>0</v>
      </c>
      <c r="AE8" s="32">
        <f>IF(AC8&lt;70180,2.5,0)</f>
        <v>2.5</v>
      </c>
      <c r="AF8" s="32">
        <f>IF(AC8&gt;42108,2.5,0)</f>
        <v>2.5</v>
      </c>
      <c r="AG8" s="33">
        <f>IF(AE8+AF8=5,2.5,0)</f>
        <v>2.5</v>
      </c>
      <c r="AH8" s="32">
        <f>IF(AC8&lt;112288,4,0)</f>
        <v>4</v>
      </c>
      <c r="AI8" s="32">
        <f>IF(AC8&gt;70180,4,0)</f>
        <v>0</v>
      </c>
      <c r="AJ8" s="33">
        <f>IF(AH8+AI8=8,4,0)</f>
        <v>0</v>
      </c>
      <c r="AK8" s="32">
        <f>IF(AC8&lt;168432,6,0)</f>
        <v>6</v>
      </c>
      <c r="AL8" s="32">
        <f>IF(AC8&gt;112288,6,0)</f>
        <v>0</v>
      </c>
      <c r="AM8" s="33">
        <f>IF(AK8+AL8=12,6,0)</f>
        <v>0</v>
      </c>
      <c r="AN8" s="32">
        <f>AM8+AG8+AD8+AJ8</f>
        <v>2.5</v>
      </c>
      <c r="AO8" s="4">
        <f>IF(AN8=1.5,10,0)</f>
        <v>0</v>
      </c>
      <c r="AP8" s="4">
        <f>IF(AN8=2.5,20,0)</f>
        <v>20</v>
      </c>
      <c r="AQ8" s="4">
        <f>IF(AN8=4,25,0)</f>
        <v>0</v>
      </c>
      <c r="AR8" s="4">
        <f>IF(AN8=6,35,0)</f>
        <v>0</v>
      </c>
      <c r="AS8" s="4">
        <f>SUM(AO8:AR8)</f>
        <v>20</v>
      </c>
      <c r="AT8" s="4">
        <f>IF(AA8=1,K8,0)</f>
        <v>0</v>
      </c>
      <c r="AU8" s="4">
        <f>IF(AA8=2,K8,0)</f>
        <v>0</v>
      </c>
      <c r="AV8" s="4">
        <f>IF(AA8=3,K8,0)</f>
        <v>3000</v>
      </c>
      <c r="AZ8" s="34"/>
      <c r="BA8" s="41" t="s">
        <v>53</v>
      </c>
      <c r="BB8" s="36"/>
      <c r="BC8" s="37"/>
      <c r="BD8" s="38"/>
      <c r="BE8" s="37"/>
      <c r="BF8" s="37"/>
      <c r="BG8" s="38"/>
      <c r="BH8" s="37"/>
      <c r="BI8" s="37"/>
      <c r="BJ8" s="38"/>
      <c r="BK8" s="37"/>
      <c r="BL8" s="37"/>
      <c r="BM8" s="38"/>
      <c r="BN8" s="36"/>
      <c r="BO8" s="37"/>
      <c r="BP8" s="38"/>
      <c r="BQ8" s="37"/>
      <c r="BR8" s="37"/>
      <c r="BS8" s="38"/>
      <c r="BT8" s="37"/>
      <c r="BU8" s="37"/>
      <c r="BV8" s="38"/>
      <c r="BW8" s="37"/>
      <c r="BX8" s="37"/>
      <c r="BY8" s="38"/>
      <c r="BZ8" s="38"/>
      <c r="CA8" s="38"/>
      <c r="CB8" s="38"/>
      <c r="CC8" s="38"/>
      <c r="CD8" s="16">
        <f>IF(CC8=1.5,10,0)</f>
        <v>0</v>
      </c>
      <c r="CE8" s="16">
        <f>IF(CC8=2.5,20,0)</f>
        <v>0</v>
      </c>
      <c r="CF8" s="16">
        <f>IF(CC8=4,25,0)</f>
        <v>0</v>
      </c>
      <c r="CG8" s="16">
        <f>IF(CC8=6,35,0)</f>
        <v>0</v>
      </c>
      <c r="CH8" s="16">
        <f>SUM(CD8:CG8)</f>
        <v>0</v>
      </c>
      <c r="CI8" s="16">
        <f>IF(AY8=1,AR8,0)</f>
        <v>0</v>
      </c>
      <c r="CJ8" s="16">
        <f>IF(AY8=2,AR8,0)</f>
        <v>0</v>
      </c>
      <c r="CK8" s="16">
        <f>IF(AY8=3,AR8,0)</f>
        <v>0</v>
      </c>
      <c r="CL8" s="23"/>
    </row>
    <row r="9" spans="1:101" x14ac:dyDescent="0.2">
      <c r="A9" s="24">
        <v>4</v>
      </c>
      <c r="B9" s="110"/>
      <c r="C9" s="110"/>
      <c r="D9" s="110"/>
      <c r="E9" s="110"/>
      <c r="F9" s="110">
        <v>4</v>
      </c>
      <c r="G9" s="111"/>
      <c r="H9" s="26"/>
      <c r="I9" s="25"/>
      <c r="J9" s="25"/>
      <c r="K9" s="26">
        <f t="shared" ref="K9:K21" si="0">B9*$B$5+C9*$C$5+D9*$D$5+E9*$E$5+F9*$F$5+G9*$G$5</f>
        <v>2400</v>
      </c>
      <c r="L9" s="39">
        <f t="shared" ref="L9:L21" si="1">AN9</f>
        <v>2.5</v>
      </c>
      <c r="M9" s="40">
        <f t="shared" ref="M9:M21" si="2">AS9</f>
        <v>20</v>
      </c>
      <c r="N9" s="117" t="s">
        <v>74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4">
        <v>1</v>
      </c>
      <c r="AB9" s="112">
        <v>20</v>
      </c>
      <c r="AC9" s="30">
        <f>K9*AB9</f>
        <v>48000</v>
      </c>
      <c r="AD9" s="31">
        <f>IF(AC9&lt;42108,1.5,0)</f>
        <v>0</v>
      </c>
      <c r="AE9" s="32">
        <f>IF(AC9&lt;70180,2.5,0)</f>
        <v>2.5</v>
      </c>
      <c r="AF9" s="32">
        <f>IF(AC9&gt;42108,2.5,0)</f>
        <v>2.5</v>
      </c>
      <c r="AG9" s="33">
        <f>IF(AE9+AF9=5,2.5,0)</f>
        <v>2.5</v>
      </c>
      <c r="AH9" s="32">
        <f>IF(AC9&lt;112288,4,0)</f>
        <v>4</v>
      </c>
      <c r="AI9" s="32">
        <f>IF(AC9&gt;70180,4,0)</f>
        <v>0</v>
      </c>
      <c r="AJ9" s="33">
        <f>IF(AH9+AI9=8,4,0)</f>
        <v>0</v>
      </c>
      <c r="AK9" s="32">
        <f>IF(AC9&lt;168432,6,0)</f>
        <v>6</v>
      </c>
      <c r="AL9" s="32">
        <f>IF(AC9&gt;112288,6,0)</f>
        <v>0</v>
      </c>
      <c r="AM9" s="33">
        <f>IF(AK9+AL9=12,6,0)</f>
        <v>0</v>
      </c>
      <c r="AN9" s="32">
        <f>AM9+AG9+AD9+AJ9</f>
        <v>2.5</v>
      </c>
      <c r="AO9" s="4">
        <f>IF(AN9=1.5,10,0)</f>
        <v>0</v>
      </c>
      <c r="AP9" s="4">
        <f>IF(AN9=2.5,20,0)</f>
        <v>20</v>
      </c>
      <c r="AQ9" s="4">
        <f>IF(AN9=4,25,0)</f>
        <v>0</v>
      </c>
      <c r="AR9" s="4">
        <f>IF(AN9=6,35,0)</f>
        <v>0</v>
      </c>
      <c r="AS9" s="4">
        <f>SUM(AO9:AR9)</f>
        <v>20</v>
      </c>
      <c r="AT9" s="4">
        <f>IF(AA9=1,K9,0)</f>
        <v>2400</v>
      </c>
      <c r="AU9" s="4">
        <f>IF(AA9=2,K9,0)</f>
        <v>0</v>
      </c>
      <c r="AV9" s="4">
        <f>IF(AA9=3,K9,0)</f>
        <v>0</v>
      </c>
      <c r="AZ9" s="34"/>
      <c r="BA9" s="42">
        <f>B96</f>
        <v>23.891077441077442</v>
      </c>
      <c r="BB9" s="36">
        <f>IF(BA9&lt;=40,6,0)</f>
        <v>6</v>
      </c>
      <c r="BC9" s="37">
        <f>IF(BA9&gt;=30,6,0)</f>
        <v>0</v>
      </c>
      <c r="BD9" s="38">
        <f>IF(BB9+BC9=12,6,0)</f>
        <v>0</v>
      </c>
      <c r="BE9" s="37">
        <f>IF(BA9&lt;=55,10,0)</f>
        <v>10</v>
      </c>
      <c r="BF9" s="37">
        <f>IF(BA9&gt;40,10,0)</f>
        <v>0</v>
      </c>
      <c r="BG9" s="38">
        <f>IF(BE9+BF9=20,10,0)</f>
        <v>0</v>
      </c>
      <c r="BH9" s="37">
        <f>IF(BA9&lt;=70,16,0)</f>
        <v>16</v>
      </c>
      <c r="BI9" s="37">
        <f>IF(BA9&gt;55,16,0)</f>
        <v>0</v>
      </c>
      <c r="BJ9" s="38">
        <f>IF(BH9+BI9=32,16,0)</f>
        <v>0</v>
      </c>
      <c r="BK9" s="37">
        <f>IF(BA9&lt;=95,25,0)</f>
        <v>25</v>
      </c>
      <c r="BL9" s="37">
        <f>IF(BA9&gt;70,25,0)</f>
        <v>0</v>
      </c>
      <c r="BM9" s="38">
        <f>IF(BK9+BL9=50,25,0)</f>
        <v>0</v>
      </c>
      <c r="BN9" s="36">
        <f>IF(BA9&lt;=110,35,0)</f>
        <v>35</v>
      </c>
      <c r="BO9" s="37">
        <f>IF(BA9&gt;95,35,0)</f>
        <v>0</v>
      </c>
      <c r="BP9" s="38">
        <f>IF(BN9+BO9=70,35,0)</f>
        <v>0</v>
      </c>
      <c r="BQ9" s="37">
        <f>IF(BA9&lt;=145,50,0)</f>
        <v>50</v>
      </c>
      <c r="BR9" s="37">
        <f>IF(BA9&gt;110,50,0)</f>
        <v>0</v>
      </c>
      <c r="BS9" s="38">
        <f>IF(BQ9+BR9=100,50,0)</f>
        <v>0</v>
      </c>
      <c r="BT9" s="37">
        <f>IF(BA9&lt;=165,70,0)</f>
        <v>70</v>
      </c>
      <c r="BU9" s="37">
        <f>IF(BA9&gt;145,70,0)</f>
        <v>0</v>
      </c>
      <c r="BV9" s="38">
        <f>IF(BT9+BU9=140,70,0)</f>
        <v>0</v>
      </c>
      <c r="BW9" s="37">
        <f>IF(BA9&lt;=195,95,0)</f>
        <v>95</v>
      </c>
      <c r="BX9" s="37">
        <f>IF(BA9&gt;165,95,0)</f>
        <v>0</v>
      </c>
      <c r="BY9" s="38">
        <f>IF(BW9+BX9=190,95,0)</f>
        <v>0</v>
      </c>
      <c r="BZ9" s="37">
        <f>IF(BA9&lt;=30,4,0)</f>
        <v>4</v>
      </c>
      <c r="CA9" s="37"/>
      <c r="CB9" s="38">
        <f>IF(BZ9=4,4,0)</f>
        <v>4</v>
      </c>
      <c r="CC9" s="38">
        <f>BD9+BG9+BJ9+BM9+BP9+BS9+BV9+BY9+CB9</f>
        <v>4</v>
      </c>
      <c r="CD9" s="16">
        <f>IF(CC9=1.5,10,0)</f>
        <v>0</v>
      </c>
      <c r="CE9" s="16">
        <f>IF(CC9=2.5,20,0)</f>
        <v>0</v>
      </c>
      <c r="CF9" s="16">
        <f>IF(CC9=4,25,0)</f>
        <v>25</v>
      </c>
      <c r="CG9" s="16">
        <f>IF(CC9=6,35,0)</f>
        <v>0</v>
      </c>
      <c r="CH9" s="16">
        <f>SUM(CD9:CG9)</f>
        <v>25</v>
      </c>
      <c r="CI9" s="16">
        <f>IF(AY9=1,AR9,0)</f>
        <v>0</v>
      </c>
      <c r="CJ9" s="16">
        <f>IF(AY9=2,AR9,0)</f>
        <v>0</v>
      </c>
      <c r="CK9" s="16">
        <f>IF(AY9=3,AR9,0)</f>
        <v>0</v>
      </c>
      <c r="CL9" s="23"/>
    </row>
    <row r="10" spans="1:101" x14ac:dyDescent="0.2">
      <c r="A10" s="24">
        <v>5</v>
      </c>
      <c r="B10" s="110"/>
      <c r="C10" s="110"/>
      <c r="D10" s="110"/>
      <c r="E10" s="110"/>
      <c r="F10" s="110">
        <v>7</v>
      </c>
      <c r="G10" s="111"/>
      <c r="H10" s="25"/>
      <c r="I10" s="26"/>
      <c r="J10" s="25"/>
      <c r="K10" s="26">
        <f t="shared" si="0"/>
        <v>4200</v>
      </c>
      <c r="L10" s="39">
        <f t="shared" si="1"/>
        <v>2.5</v>
      </c>
      <c r="M10" s="40">
        <f t="shared" si="2"/>
        <v>20</v>
      </c>
      <c r="N10" s="116" t="s">
        <v>76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4">
        <v>2</v>
      </c>
      <c r="AB10" s="112">
        <v>16</v>
      </c>
      <c r="AC10" s="30">
        <f t="shared" ref="AC10:AC21" si="3">K10*AB10</f>
        <v>67200</v>
      </c>
      <c r="AD10" s="31">
        <f t="shared" ref="AD10:AD21" si="4">IF(AC10&lt;42108,1.5,0)</f>
        <v>0</v>
      </c>
      <c r="AE10" s="32">
        <f t="shared" ref="AE10:AE21" si="5">IF(AC10&lt;70180,2.5,0)</f>
        <v>2.5</v>
      </c>
      <c r="AF10" s="32">
        <f t="shared" ref="AF10:AF21" si="6">IF(AC10&gt;42108,2.5,0)</f>
        <v>2.5</v>
      </c>
      <c r="AG10" s="33">
        <f t="shared" ref="AG10:AG21" si="7">IF(AE10+AF10=5,2.5,0)</f>
        <v>2.5</v>
      </c>
      <c r="AH10" s="32">
        <f t="shared" ref="AH10:AH21" si="8">IF(AC10&lt;112288,4,0)</f>
        <v>4</v>
      </c>
      <c r="AI10" s="32">
        <f t="shared" ref="AI10:AI21" si="9">IF(AC10&gt;70180,4,0)</f>
        <v>0</v>
      </c>
      <c r="AJ10" s="33">
        <f t="shared" ref="AJ10:AJ21" si="10">IF(AH10+AI10=8,4,0)</f>
        <v>0</v>
      </c>
      <c r="AK10" s="32">
        <f t="shared" ref="AK10:AK21" si="11">IF(AC10&lt;168432,6,0)</f>
        <v>6</v>
      </c>
      <c r="AL10" s="32">
        <f t="shared" ref="AL10:AL21" si="12">IF(AC10&gt;112288,6,0)</f>
        <v>0</v>
      </c>
      <c r="AM10" s="33">
        <f t="shared" ref="AM10:AM21" si="13">IF(AK10+AL10=12,6,0)</f>
        <v>0</v>
      </c>
      <c r="AN10" s="32">
        <f t="shared" ref="AN10:AN21" si="14">AM10+AG10+AD10+AJ10</f>
        <v>2.5</v>
      </c>
      <c r="AO10" s="4">
        <f t="shared" ref="AO10:AO21" si="15">IF(AN10=1.5,10,0)</f>
        <v>0</v>
      </c>
      <c r="AP10" s="4">
        <f t="shared" ref="AP10:AP21" si="16">IF(AN10=2.5,20,0)</f>
        <v>20</v>
      </c>
      <c r="AQ10" s="4">
        <f t="shared" ref="AQ10:AQ21" si="17">IF(AN10=4,25,0)</f>
        <v>0</v>
      </c>
      <c r="AR10" s="4">
        <f t="shared" ref="AR10:AR21" si="18">IF(AN10=6,35,0)</f>
        <v>0</v>
      </c>
      <c r="AS10" s="4">
        <f t="shared" ref="AS10:AS21" si="19">SUM(AO10:AR10)</f>
        <v>20</v>
      </c>
      <c r="AT10" s="4">
        <f t="shared" ref="AT10:AT21" si="20">IF(AA10=1,K10,0)</f>
        <v>0</v>
      </c>
      <c r="AU10" s="4">
        <f t="shared" ref="AU10:AU21" si="21">IF(AA10=2,K10,0)</f>
        <v>4200</v>
      </c>
      <c r="AV10" s="4">
        <f t="shared" ref="AV10:AV21" si="22">IF(AA10=3,K10,0)</f>
        <v>0</v>
      </c>
      <c r="AZ10" s="43"/>
      <c r="BA10" s="35"/>
      <c r="BB10" s="36"/>
      <c r="BC10" s="37"/>
      <c r="BD10" s="38"/>
      <c r="BE10" s="37"/>
      <c r="BF10" s="37"/>
      <c r="BG10" s="38"/>
      <c r="BH10" s="37"/>
      <c r="BI10" s="37"/>
      <c r="BJ10" s="38"/>
      <c r="BK10" s="37"/>
      <c r="BL10" s="37"/>
      <c r="BM10" s="38"/>
      <c r="BN10" s="36"/>
      <c r="BO10" s="37"/>
      <c r="BP10" s="38"/>
      <c r="BQ10" s="37"/>
      <c r="BR10" s="37"/>
      <c r="BS10" s="38"/>
      <c r="BT10" s="37"/>
      <c r="BU10" s="37"/>
      <c r="BV10" s="38"/>
      <c r="BW10" s="37"/>
      <c r="BX10" s="37"/>
      <c r="BY10" s="38"/>
      <c r="BZ10" s="38"/>
      <c r="CA10" s="38"/>
      <c r="CB10" s="38"/>
      <c r="CC10" s="38"/>
      <c r="CD10" s="16">
        <f t="shared" ref="CD10:CD21" si="23">IF(CC10=1.5,10,0)</f>
        <v>0</v>
      </c>
      <c r="CE10" s="16">
        <f t="shared" ref="CE10:CE21" si="24">IF(CC10=2.5,20,0)</f>
        <v>0</v>
      </c>
      <c r="CF10" s="16">
        <f t="shared" ref="CF10:CF21" si="25">IF(CC10=4,25,0)</f>
        <v>0</v>
      </c>
      <c r="CG10" s="16">
        <f t="shared" ref="CG10:CG21" si="26">IF(CC10=6,35,0)</f>
        <v>0</v>
      </c>
      <c r="CH10" s="16">
        <f t="shared" ref="CH10:CH21" si="27">SUM(CD10:CG10)</f>
        <v>0</v>
      </c>
      <c r="CI10" s="16">
        <f t="shared" ref="CI10:CI21" si="28">IF(AY10=1,AR10,0)</f>
        <v>0</v>
      </c>
      <c r="CJ10" s="16">
        <f t="shared" ref="CJ10:CJ21" si="29">IF(AY10=2,AR10,0)</f>
        <v>0</v>
      </c>
      <c r="CK10" s="16">
        <f t="shared" ref="CK10:CK21" si="30">IF(AY10=3,AR10,0)</f>
        <v>0</v>
      </c>
      <c r="CL10" s="23"/>
    </row>
    <row r="11" spans="1:101" ht="13.5" thickBot="1" x14ac:dyDescent="0.25">
      <c r="A11" s="24">
        <v>6</v>
      </c>
      <c r="B11" s="110"/>
      <c r="C11" s="110"/>
      <c r="D11" s="110"/>
      <c r="E11" s="110"/>
      <c r="F11" s="110">
        <v>4</v>
      </c>
      <c r="G11" s="111"/>
      <c r="H11" s="25"/>
      <c r="I11" s="25"/>
      <c r="J11" s="26"/>
      <c r="K11" s="26">
        <f t="shared" si="0"/>
        <v>2400</v>
      </c>
      <c r="L11" s="39">
        <f t="shared" si="1"/>
        <v>2.5</v>
      </c>
      <c r="M11" s="40">
        <f t="shared" si="2"/>
        <v>20</v>
      </c>
      <c r="N11" s="116" t="s">
        <v>77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4">
        <v>3</v>
      </c>
      <c r="AB11" s="112">
        <v>20</v>
      </c>
      <c r="AC11" s="30">
        <f t="shared" si="3"/>
        <v>48000</v>
      </c>
      <c r="AD11" s="31">
        <f t="shared" si="4"/>
        <v>0</v>
      </c>
      <c r="AE11" s="32">
        <f t="shared" si="5"/>
        <v>2.5</v>
      </c>
      <c r="AF11" s="32">
        <f t="shared" si="6"/>
        <v>2.5</v>
      </c>
      <c r="AG11" s="33">
        <f t="shared" si="7"/>
        <v>2.5</v>
      </c>
      <c r="AH11" s="32">
        <f t="shared" si="8"/>
        <v>4</v>
      </c>
      <c r="AI11" s="32">
        <f t="shared" si="9"/>
        <v>0</v>
      </c>
      <c r="AJ11" s="33">
        <f t="shared" si="10"/>
        <v>0</v>
      </c>
      <c r="AK11" s="32">
        <f t="shared" si="11"/>
        <v>6</v>
      </c>
      <c r="AL11" s="32">
        <f t="shared" si="12"/>
        <v>0</v>
      </c>
      <c r="AM11" s="33">
        <f t="shared" si="13"/>
        <v>0</v>
      </c>
      <c r="AN11" s="32">
        <f t="shared" si="14"/>
        <v>2.5</v>
      </c>
      <c r="AO11" s="4">
        <f t="shared" si="15"/>
        <v>0</v>
      </c>
      <c r="AP11" s="4">
        <f t="shared" si="16"/>
        <v>20</v>
      </c>
      <c r="AQ11" s="4">
        <f t="shared" si="17"/>
        <v>0</v>
      </c>
      <c r="AR11" s="4">
        <f t="shared" si="18"/>
        <v>0</v>
      </c>
      <c r="AS11" s="4">
        <f t="shared" si="19"/>
        <v>20</v>
      </c>
      <c r="AT11" s="4">
        <f t="shared" si="20"/>
        <v>0</v>
      </c>
      <c r="AU11" s="4">
        <f t="shared" si="21"/>
        <v>0</v>
      </c>
      <c r="AV11" s="4">
        <f t="shared" si="22"/>
        <v>2400</v>
      </c>
      <c r="AZ11" s="34"/>
      <c r="BA11" s="44" t="s">
        <v>58</v>
      </c>
      <c r="BB11" s="36"/>
      <c r="BC11" s="37"/>
      <c r="BD11" s="38"/>
      <c r="BE11" s="37"/>
      <c r="BF11" s="37"/>
      <c r="BG11" s="38"/>
      <c r="BH11" s="37"/>
      <c r="BI11" s="37"/>
      <c r="BJ11" s="38"/>
      <c r="BK11" s="37"/>
      <c r="BL11" s="37"/>
      <c r="BM11" s="38"/>
      <c r="BN11" s="36"/>
      <c r="BO11" s="37"/>
      <c r="BP11" s="38"/>
      <c r="BQ11" s="37"/>
      <c r="BR11" s="37"/>
      <c r="BS11" s="38"/>
      <c r="BT11" s="37"/>
      <c r="BU11" s="37"/>
      <c r="BV11" s="38"/>
      <c r="BW11" s="37"/>
      <c r="BX11" s="37"/>
      <c r="BY11" s="38"/>
      <c r="BZ11" s="38"/>
      <c r="CA11" s="38"/>
      <c r="CB11" s="38"/>
      <c r="CC11" s="38"/>
      <c r="CD11" s="16">
        <f t="shared" si="23"/>
        <v>0</v>
      </c>
      <c r="CE11" s="16">
        <f t="shared" si="24"/>
        <v>0</v>
      </c>
      <c r="CF11" s="16">
        <f t="shared" si="25"/>
        <v>0</v>
      </c>
      <c r="CG11" s="16">
        <f t="shared" si="26"/>
        <v>0</v>
      </c>
      <c r="CH11" s="16">
        <f t="shared" si="27"/>
        <v>0</v>
      </c>
      <c r="CI11" s="16">
        <f t="shared" si="28"/>
        <v>0</v>
      </c>
      <c r="CJ11" s="16">
        <f t="shared" si="29"/>
        <v>0</v>
      </c>
      <c r="CK11" s="16">
        <f t="shared" si="30"/>
        <v>0</v>
      </c>
      <c r="CL11" s="23"/>
    </row>
    <row r="12" spans="1:101" x14ac:dyDescent="0.2">
      <c r="A12" s="24">
        <v>7</v>
      </c>
      <c r="B12" s="110"/>
      <c r="C12" s="110"/>
      <c r="D12" s="110"/>
      <c r="E12" s="110"/>
      <c r="F12" s="110">
        <v>4</v>
      </c>
      <c r="G12" s="111"/>
      <c r="H12" s="26"/>
      <c r="I12" s="25"/>
      <c r="J12" s="25"/>
      <c r="K12" s="26">
        <f t="shared" si="0"/>
        <v>2400</v>
      </c>
      <c r="L12" s="39">
        <f t="shared" si="1"/>
        <v>2.5</v>
      </c>
      <c r="M12" s="40">
        <f t="shared" si="2"/>
        <v>20</v>
      </c>
      <c r="N12" s="117" t="s">
        <v>74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4">
        <v>1</v>
      </c>
      <c r="AB12" s="112">
        <v>20</v>
      </c>
      <c r="AC12" s="30">
        <f t="shared" si="3"/>
        <v>48000</v>
      </c>
      <c r="AD12" s="31">
        <f t="shared" si="4"/>
        <v>0</v>
      </c>
      <c r="AE12" s="32">
        <f t="shared" si="5"/>
        <v>2.5</v>
      </c>
      <c r="AF12" s="32">
        <f t="shared" si="6"/>
        <v>2.5</v>
      </c>
      <c r="AG12" s="33">
        <f t="shared" si="7"/>
        <v>2.5</v>
      </c>
      <c r="AH12" s="32">
        <f t="shared" si="8"/>
        <v>4</v>
      </c>
      <c r="AI12" s="32">
        <f t="shared" si="9"/>
        <v>0</v>
      </c>
      <c r="AJ12" s="33">
        <f t="shared" si="10"/>
        <v>0</v>
      </c>
      <c r="AK12" s="32">
        <f t="shared" si="11"/>
        <v>6</v>
      </c>
      <c r="AL12" s="32">
        <f t="shared" si="12"/>
        <v>0</v>
      </c>
      <c r="AM12" s="33">
        <f t="shared" si="13"/>
        <v>0</v>
      </c>
      <c r="AN12" s="32">
        <f t="shared" si="14"/>
        <v>2.5</v>
      </c>
      <c r="AO12" s="4">
        <f t="shared" si="15"/>
        <v>0</v>
      </c>
      <c r="AP12" s="4">
        <f t="shared" si="16"/>
        <v>20</v>
      </c>
      <c r="AQ12" s="4">
        <f t="shared" si="17"/>
        <v>0</v>
      </c>
      <c r="AR12" s="4">
        <f t="shared" si="18"/>
        <v>0</v>
      </c>
      <c r="AS12" s="4">
        <f t="shared" si="19"/>
        <v>20</v>
      </c>
      <c r="AT12" s="4">
        <f t="shared" si="20"/>
        <v>2400</v>
      </c>
      <c r="AU12" s="4">
        <f t="shared" si="21"/>
        <v>0</v>
      </c>
      <c r="AV12" s="4">
        <f t="shared" si="22"/>
        <v>0</v>
      </c>
      <c r="AY12" s="45"/>
      <c r="AZ12" s="34"/>
      <c r="BA12" s="46"/>
      <c r="BB12" s="47" t="s">
        <v>59</v>
      </c>
      <c r="BC12" s="48"/>
      <c r="BD12" s="49"/>
      <c r="BE12" s="50"/>
      <c r="BF12" s="51" t="s">
        <v>64</v>
      </c>
      <c r="BG12" s="49"/>
      <c r="BH12" s="50"/>
      <c r="BI12" s="51" t="s">
        <v>60</v>
      </c>
      <c r="BJ12" s="49"/>
      <c r="BK12" s="50"/>
      <c r="BL12" s="52" t="s">
        <v>61</v>
      </c>
      <c r="BM12" s="49"/>
      <c r="BN12" s="53"/>
      <c r="BO12" s="52" t="s">
        <v>62</v>
      </c>
      <c r="BP12" s="49"/>
      <c r="BQ12" s="50"/>
      <c r="BR12" s="52" t="s">
        <v>63</v>
      </c>
      <c r="BS12" s="49"/>
      <c r="BT12" s="37"/>
      <c r="BU12" s="37"/>
      <c r="BV12" s="38"/>
      <c r="BW12" s="37"/>
      <c r="BX12" s="37"/>
      <c r="BY12" s="38"/>
      <c r="BZ12" s="38"/>
      <c r="CA12" s="38"/>
      <c r="CB12" s="38"/>
      <c r="CC12" s="38"/>
      <c r="CD12" s="16">
        <f t="shared" si="23"/>
        <v>0</v>
      </c>
      <c r="CE12" s="16">
        <f t="shared" si="24"/>
        <v>0</v>
      </c>
      <c r="CF12" s="16">
        <f t="shared" si="25"/>
        <v>0</v>
      </c>
      <c r="CG12" s="16">
        <f t="shared" si="26"/>
        <v>0</v>
      </c>
      <c r="CH12" s="16">
        <f t="shared" si="27"/>
        <v>0</v>
      </c>
      <c r="CI12" s="16">
        <f t="shared" si="28"/>
        <v>0</v>
      </c>
      <c r="CJ12" s="16">
        <f t="shared" si="29"/>
        <v>0</v>
      </c>
      <c r="CK12" s="16">
        <f t="shared" si="30"/>
        <v>0</v>
      </c>
      <c r="CL12" s="23"/>
      <c r="CS12" s="54"/>
      <c r="CT12" s="54"/>
      <c r="CU12" s="54"/>
    </row>
    <row r="13" spans="1:101" ht="13.5" thickBot="1" x14ac:dyDescent="0.25">
      <c r="A13" s="24">
        <v>8</v>
      </c>
      <c r="B13" s="110"/>
      <c r="C13" s="110"/>
      <c r="D13" s="110"/>
      <c r="E13" s="110"/>
      <c r="F13" s="110">
        <v>6</v>
      </c>
      <c r="G13" s="111"/>
      <c r="H13" s="25"/>
      <c r="I13" s="25"/>
      <c r="J13" s="25"/>
      <c r="K13" s="26">
        <f t="shared" si="0"/>
        <v>3600</v>
      </c>
      <c r="L13" s="39">
        <f t="shared" si="1"/>
        <v>2.5</v>
      </c>
      <c r="M13" s="40">
        <f t="shared" si="2"/>
        <v>20</v>
      </c>
      <c r="N13" s="116" t="s">
        <v>76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4">
        <v>2</v>
      </c>
      <c r="AB13" s="112">
        <v>19</v>
      </c>
      <c r="AC13" s="30">
        <f t="shared" si="3"/>
        <v>68400</v>
      </c>
      <c r="AD13" s="31">
        <f t="shared" si="4"/>
        <v>0</v>
      </c>
      <c r="AE13" s="32">
        <f t="shared" si="5"/>
        <v>2.5</v>
      </c>
      <c r="AF13" s="32">
        <f t="shared" si="6"/>
        <v>2.5</v>
      </c>
      <c r="AG13" s="33">
        <f t="shared" si="7"/>
        <v>2.5</v>
      </c>
      <c r="AH13" s="32">
        <f t="shared" si="8"/>
        <v>4</v>
      </c>
      <c r="AI13" s="32">
        <f t="shared" si="9"/>
        <v>0</v>
      </c>
      <c r="AJ13" s="33">
        <f t="shared" si="10"/>
        <v>0</v>
      </c>
      <c r="AK13" s="32">
        <f t="shared" si="11"/>
        <v>6</v>
      </c>
      <c r="AL13" s="32">
        <f t="shared" si="12"/>
        <v>0</v>
      </c>
      <c r="AM13" s="33">
        <f t="shared" si="13"/>
        <v>0</v>
      </c>
      <c r="AN13" s="32">
        <f t="shared" si="14"/>
        <v>2.5</v>
      </c>
      <c r="AO13" s="4">
        <f t="shared" si="15"/>
        <v>0</v>
      </c>
      <c r="AP13" s="4">
        <f t="shared" si="16"/>
        <v>20</v>
      </c>
      <c r="AQ13" s="4">
        <f t="shared" si="17"/>
        <v>0</v>
      </c>
      <c r="AR13" s="4">
        <f t="shared" si="18"/>
        <v>0</v>
      </c>
      <c r="AS13" s="4">
        <f t="shared" si="19"/>
        <v>20</v>
      </c>
      <c r="AT13" s="4">
        <f t="shared" si="20"/>
        <v>0</v>
      </c>
      <c r="AU13" s="4">
        <f t="shared" si="21"/>
        <v>3600</v>
      </c>
      <c r="AV13" s="4">
        <f t="shared" si="22"/>
        <v>0</v>
      </c>
      <c r="AY13" s="109">
        <f>AA98</f>
        <v>10800</v>
      </c>
      <c r="AZ13" s="55"/>
      <c r="BA13" s="55">
        <f t="shared" ref="BA13:BA22" si="31">$AY$13-($BA$79)-9000</f>
        <v>1000</v>
      </c>
      <c r="BB13" s="36">
        <f>IF(BA13&lt;=1000,BA13*0.86,0)</f>
        <v>860</v>
      </c>
      <c r="BC13" s="56"/>
      <c r="BD13" s="38">
        <f>IF(CU13&gt;=0,BB13,0)</f>
        <v>860</v>
      </c>
      <c r="BE13" s="57">
        <f>IF(AY13&lt;=3000,AY13,0)</f>
        <v>0</v>
      </c>
      <c r="BF13" s="57">
        <f>IF(AY13&gt;3000,3000,0)</f>
        <v>3000</v>
      </c>
      <c r="BG13" s="58">
        <f>BE13+BF13</f>
        <v>3000</v>
      </c>
      <c r="BH13" s="57">
        <f>IF(AY13&lt;=20000,AY13,0)</f>
        <v>10800</v>
      </c>
      <c r="BI13" s="57">
        <f>IF(AY13&gt;20000,20000,0)</f>
        <v>0</v>
      </c>
      <c r="BJ13" s="58">
        <f>BH13+BI13</f>
        <v>10800</v>
      </c>
      <c r="BK13" s="57">
        <f>IF(AY13&lt;=15000,AY13,0)</f>
        <v>10800</v>
      </c>
      <c r="BL13" s="57">
        <f>IF(AY13&gt;15000,15000,0)</f>
        <v>0</v>
      </c>
      <c r="BM13" s="58">
        <f>BK13+BL13</f>
        <v>10800</v>
      </c>
      <c r="BN13" s="57">
        <f>IF(AY13&lt;=20000,AY13*0.5,0)</f>
        <v>5400</v>
      </c>
      <c r="BO13" s="57">
        <f>IF(AY13&gt;20000,20000,0)</f>
        <v>0</v>
      </c>
      <c r="BP13" s="58">
        <f>BN13+BO13</f>
        <v>5400</v>
      </c>
      <c r="BQ13" s="57">
        <f>IF(AY13&lt;=50000,AY13*0.4,0)</f>
        <v>4320</v>
      </c>
      <c r="BR13" s="57">
        <f>IF(AY13&gt;50000,20000,0)</f>
        <v>0</v>
      </c>
      <c r="BS13" s="58">
        <f>BQ13+BR13</f>
        <v>4320</v>
      </c>
      <c r="BT13" s="37">
        <f>IF(BA13&lt;C99*952520,70,0)</f>
        <v>0</v>
      </c>
      <c r="BU13" s="37">
        <f>IF(BA13&gt;C99*701800,70,0)</f>
        <v>70</v>
      </c>
      <c r="BV13" s="38">
        <f>IF(BT13+BU13=140,70,0)</f>
        <v>0</v>
      </c>
      <c r="BW13" s="37">
        <f>IF(BA13&lt;C99*1333420,95,0)</f>
        <v>0</v>
      </c>
      <c r="BX13" s="37">
        <f>IF(BA13&gt;C99*982520,95,0)</f>
        <v>95</v>
      </c>
      <c r="BY13" s="38">
        <f>IF(BW13+BX13=190,95,0)</f>
        <v>0</v>
      </c>
      <c r="BZ13" s="38"/>
      <c r="CA13" s="38"/>
      <c r="CB13" s="38"/>
      <c r="CC13" s="38">
        <f>BD13+BG13+BJ13+BM13+BP13+BS13+BV13+BY13</f>
        <v>35180</v>
      </c>
      <c r="CD13" s="16">
        <f>IF(CC13=1.5,10,0)</f>
        <v>0</v>
      </c>
      <c r="CE13" s="16">
        <f>IF(CC13=2.5,20,0)</f>
        <v>0</v>
      </c>
      <c r="CF13" s="16">
        <f>IF(CC13=4,25,0)</f>
        <v>0</v>
      </c>
      <c r="CG13" s="16">
        <f>IF(CC13=6,35,0)</f>
        <v>0</v>
      </c>
      <c r="CH13" s="16">
        <f>SUM(CD13:CG13)</f>
        <v>0</v>
      </c>
      <c r="CI13" s="16">
        <f>IF(AY13=1,AR13,0)</f>
        <v>0</v>
      </c>
      <c r="CJ13" s="16">
        <f>IF(AY13=2,AR13,0)</f>
        <v>0</v>
      </c>
      <c r="CK13" s="16">
        <f>IF(AY13=3,AR13,0)</f>
        <v>0</v>
      </c>
      <c r="CL13" s="23"/>
      <c r="CN13" s="4">
        <f>AY13</f>
        <v>10800</v>
      </c>
      <c r="CU13" s="4">
        <f>CN13</f>
        <v>10800</v>
      </c>
    </row>
    <row r="14" spans="1:101" ht="13.5" thickBot="1" x14ac:dyDescent="0.25">
      <c r="A14" s="24">
        <v>9</v>
      </c>
      <c r="B14" s="110"/>
      <c r="C14" s="110"/>
      <c r="D14" s="110"/>
      <c r="E14" s="110"/>
      <c r="F14" s="110"/>
      <c r="G14" s="111">
        <v>1</v>
      </c>
      <c r="H14" s="25"/>
      <c r="I14" s="25"/>
      <c r="J14" s="25"/>
      <c r="K14" s="26">
        <f t="shared" si="0"/>
        <v>4000</v>
      </c>
      <c r="L14" s="39">
        <f t="shared" si="1"/>
        <v>4</v>
      </c>
      <c r="M14" s="40">
        <f t="shared" si="2"/>
        <v>25</v>
      </c>
      <c r="N14" s="116" t="s">
        <v>77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4">
        <v>3</v>
      </c>
      <c r="AB14" s="112">
        <v>20</v>
      </c>
      <c r="AC14" s="30">
        <f t="shared" si="3"/>
        <v>80000</v>
      </c>
      <c r="AD14" s="31">
        <f t="shared" si="4"/>
        <v>0</v>
      </c>
      <c r="AE14" s="32">
        <f t="shared" si="5"/>
        <v>0</v>
      </c>
      <c r="AF14" s="32">
        <f t="shared" si="6"/>
        <v>2.5</v>
      </c>
      <c r="AG14" s="33">
        <f t="shared" si="7"/>
        <v>0</v>
      </c>
      <c r="AH14" s="32">
        <f t="shared" si="8"/>
        <v>4</v>
      </c>
      <c r="AI14" s="32">
        <f t="shared" si="9"/>
        <v>4</v>
      </c>
      <c r="AJ14" s="33">
        <f t="shared" si="10"/>
        <v>4</v>
      </c>
      <c r="AK14" s="32">
        <f t="shared" si="11"/>
        <v>6</v>
      </c>
      <c r="AL14" s="32">
        <f t="shared" si="12"/>
        <v>0</v>
      </c>
      <c r="AM14" s="33">
        <f t="shared" si="13"/>
        <v>0</v>
      </c>
      <c r="AN14" s="32">
        <f t="shared" si="14"/>
        <v>4</v>
      </c>
      <c r="AO14" s="4">
        <f t="shared" si="15"/>
        <v>0</v>
      </c>
      <c r="AP14" s="4">
        <f t="shared" si="16"/>
        <v>0</v>
      </c>
      <c r="AQ14" s="4">
        <f t="shared" si="17"/>
        <v>25</v>
      </c>
      <c r="AR14" s="4">
        <f t="shared" si="18"/>
        <v>0</v>
      </c>
      <c r="AS14" s="4">
        <f t="shared" si="19"/>
        <v>25</v>
      </c>
      <c r="AT14" s="4">
        <f t="shared" si="20"/>
        <v>0</v>
      </c>
      <c r="AU14" s="4">
        <f t="shared" si="21"/>
        <v>0</v>
      </c>
      <c r="AV14" s="4">
        <f t="shared" si="22"/>
        <v>4000</v>
      </c>
      <c r="AY14" s="4">
        <v>3000</v>
      </c>
      <c r="AZ14" s="55"/>
      <c r="BA14" s="55">
        <f t="shared" si="31"/>
        <v>1000</v>
      </c>
      <c r="BB14" s="36">
        <f>IF(BA14&lt;=2000,BA14*0.75,0)</f>
        <v>750</v>
      </c>
      <c r="BC14" s="37"/>
      <c r="BD14" s="60">
        <f t="shared" ref="BD14:BD22" si="32">IF(CU14&gt;0,BB14,0)</f>
        <v>750</v>
      </c>
      <c r="BE14" s="62">
        <f>IF(AY13&lt;=120000,(AY13-3000)*0.35,0)</f>
        <v>2730</v>
      </c>
      <c r="BF14" s="37"/>
      <c r="BG14" s="58">
        <f>IF(AY13&gt;120000,40950,IF(BE14&lt;0,0,BE14))</f>
        <v>2730</v>
      </c>
      <c r="BH14" s="62">
        <f>IF(AY13&gt;20000,(AY13-20000)*0.7,0)</f>
        <v>0</v>
      </c>
      <c r="BI14" s="37"/>
      <c r="BJ14" s="101">
        <f>BH14</f>
        <v>0</v>
      </c>
      <c r="BK14" s="62">
        <f>IF(AY13&gt;15000,(AY13-15000)*0.4,0)</f>
        <v>0</v>
      </c>
      <c r="BL14" s="37"/>
      <c r="BM14" s="101">
        <f>BK14</f>
        <v>0</v>
      </c>
      <c r="BN14" s="62">
        <f>IF(AY13&lt;=100000,(AY13-3000)*0.4,0)</f>
        <v>3120</v>
      </c>
      <c r="BO14" s="37"/>
      <c r="BP14" s="58">
        <f>IF(AY13&gt;120000,40950,IF(BN14&lt;0,0,BN14))</f>
        <v>3120</v>
      </c>
      <c r="BQ14" s="62">
        <f>IF(AY13&gt;50000,(AY13-50000)*0.2,0)</f>
        <v>0</v>
      </c>
      <c r="BR14" s="37"/>
      <c r="BS14" s="101">
        <f>BQ14</f>
        <v>0</v>
      </c>
      <c r="BT14" s="37"/>
      <c r="BU14" s="37"/>
      <c r="BV14" s="38"/>
      <c r="BW14" s="37"/>
      <c r="BX14" s="37"/>
      <c r="BY14" s="38"/>
      <c r="BZ14" s="38"/>
      <c r="CA14" s="38"/>
      <c r="CB14" s="38"/>
      <c r="CC14" s="38"/>
      <c r="CD14" s="16">
        <f t="shared" si="23"/>
        <v>0</v>
      </c>
      <c r="CE14" s="16">
        <f t="shared" si="24"/>
        <v>0</v>
      </c>
      <c r="CF14" s="16">
        <f t="shared" si="25"/>
        <v>0</v>
      </c>
      <c r="CG14" s="16">
        <f t="shared" si="26"/>
        <v>0</v>
      </c>
      <c r="CH14" s="16">
        <f t="shared" si="27"/>
        <v>0</v>
      </c>
      <c r="CI14" s="16">
        <f t="shared" si="28"/>
        <v>0</v>
      </c>
      <c r="CJ14" s="16">
        <f t="shared" si="29"/>
        <v>0</v>
      </c>
      <c r="CK14" s="16">
        <f t="shared" si="30"/>
        <v>0</v>
      </c>
      <c r="CL14" s="23"/>
      <c r="CN14" s="4">
        <f>CN13-10000</f>
        <v>800</v>
      </c>
      <c r="CO14" s="63">
        <v>1</v>
      </c>
      <c r="CP14" s="12">
        <v>1000</v>
      </c>
      <c r="CQ14" s="12"/>
      <c r="CR14" s="12"/>
      <c r="CS14" s="12"/>
      <c r="CT14" s="12">
        <f>IF(CN13&lt;10000,BB13,0)</f>
        <v>0</v>
      </c>
      <c r="CU14" s="14">
        <f>IF($CN$13&lt;=10000,CU13-1000,$CN$13-10000)</f>
        <v>800</v>
      </c>
      <c r="CW14" s="4">
        <f>CV14*0.24</f>
        <v>0</v>
      </c>
    </row>
    <row r="15" spans="1:101" ht="13.5" thickBot="1" x14ac:dyDescent="0.25">
      <c r="A15" s="24">
        <v>10</v>
      </c>
      <c r="B15" s="110"/>
      <c r="C15" s="110"/>
      <c r="D15" s="110"/>
      <c r="E15" s="110"/>
      <c r="F15" s="110"/>
      <c r="G15" s="111">
        <v>1</v>
      </c>
      <c r="H15" s="25"/>
      <c r="I15" s="25"/>
      <c r="J15" s="25"/>
      <c r="K15" s="26">
        <f t="shared" si="0"/>
        <v>4000</v>
      </c>
      <c r="L15" s="39">
        <f t="shared" si="1"/>
        <v>4</v>
      </c>
      <c r="M15" s="40">
        <f t="shared" si="2"/>
        <v>25</v>
      </c>
      <c r="N15" s="117" t="s">
        <v>74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4">
        <v>1</v>
      </c>
      <c r="AB15" s="112">
        <v>20</v>
      </c>
      <c r="AC15" s="30">
        <f t="shared" si="3"/>
        <v>80000</v>
      </c>
      <c r="AD15" s="31">
        <f t="shared" si="4"/>
        <v>0</v>
      </c>
      <c r="AE15" s="32">
        <f t="shared" si="5"/>
        <v>0</v>
      </c>
      <c r="AF15" s="32">
        <f t="shared" si="6"/>
        <v>2.5</v>
      </c>
      <c r="AG15" s="33">
        <f t="shared" si="7"/>
        <v>0</v>
      </c>
      <c r="AH15" s="32">
        <f t="shared" si="8"/>
        <v>4</v>
      </c>
      <c r="AI15" s="32">
        <f t="shared" si="9"/>
        <v>4</v>
      </c>
      <c r="AJ15" s="33">
        <f t="shared" si="10"/>
        <v>4</v>
      </c>
      <c r="AK15" s="32">
        <f t="shared" si="11"/>
        <v>6</v>
      </c>
      <c r="AL15" s="32">
        <f t="shared" si="12"/>
        <v>0</v>
      </c>
      <c r="AM15" s="33">
        <f t="shared" si="13"/>
        <v>0</v>
      </c>
      <c r="AN15" s="32">
        <f t="shared" si="14"/>
        <v>4</v>
      </c>
      <c r="AO15" s="4">
        <f t="shared" si="15"/>
        <v>0</v>
      </c>
      <c r="AP15" s="4">
        <f t="shared" si="16"/>
        <v>0</v>
      </c>
      <c r="AQ15" s="4">
        <f t="shared" si="17"/>
        <v>25</v>
      </c>
      <c r="AR15" s="4">
        <f t="shared" si="18"/>
        <v>0</v>
      </c>
      <c r="AS15" s="4">
        <f t="shared" si="19"/>
        <v>25</v>
      </c>
      <c r="AT15" s="4">
        <f t="shared" si="20"/>
        <v>4000</v>
      </c>
      <c r="AU15" s="4">
        <f t="shared" si="21"/>
        <v>0</v>
      </c>
      <c r="AV15" s="4">
        <f t="shared" si="22"/>
        <v>0</v>
      </c>
      <c r="AY15" s="4">
        <f>AY13-AY14</f>
        <v>7800</v>
      </c>
      <c r="AZ15" s="55"/>
      <c r="BA15" s="55">
        <f t="shared" si="31"/>
        <v>1000</v>
      </c>
      <c r="BB15" s="36">
        <f>IF(BA15&lt;=3000,BA15*0.66,0)</f>
        <v>660</v>
      </c>
      <c r="BC15" s="37"/>
      <c r="BD15" s="60">
        <f t="shared" si="32"/>
        <v>660</v>
      </c>
      <c r="BE15" s="62">
        <f>IF(AY13&gt;120000,(AY13-120000)*0.25,0)</f>
        <v>0</v>
      </c>
      <c r="BF15" s="56">
        <f>IF(BE15&lt;0,0,BE15)</f>
        <v>0</v>
      </c>
      <c r="BG15" s="58">
        <f>BF15</f>
        <v>0</v>
      </c>
      <c r="BH15" s="62"/>
      <c r="BI15" s="37"/>
      <c r="BJ15" s="60"/>
      <c r="BK15" s="59"/>
      <c r="BL15" s="37"/>
      <c r="BM15" s="60"/>
      <c r="BN15" s="62">
        <f>IF(AY13&gt;100000,(AY13-100000)*0.3,0)</f>
        <v>0</v>
      </c>
      <c r="BO15" s="56">
        <f>IF(BN15&lt;0,0,BN15)</f>
        <v>0</v>
      </c>
      <c r="BP15" s="58">
        <f>BO15</f>
        <v>0</v>
      </c>
      <c r="BQ15" s="59"/>
      <c r="BR15" s="37"/>
      <c r="BS15" s="60"/>
      <c r="BT15" s="37"/>
      <c r="BU15" s="37"/>
      <c r="BV15" s="38"/>
      <c r="BW15" s="37"/>
      <c r="BX15" s="37"/>
      <c r="BY15" s="38"/>
      <c r="BZ15" s="38"/>
      <c r="CA15" s="38"/>
      <c r="CB15" s="38"/>
      <c r="CC15" s="38"/>
      <c r="CD15" s="16">
        <f t="shared" si="23"/>
        <v>0</v>
      </c>
      <c r="CE15" s="16">
        <f t="shared" si="24"/>
        <v>0</v>
      </c>
      <c r="CF15" s="16">
        <f t="shared" si="25"/>
        <v>0</v>
      </c>
      <c r="CG15" s="16">
        <f t="shared" si="26"/>
        <v>0</v>
      </c>
      <c r="CH15" s="16">
        <f t="shared" si="27"/>
        <v>0</v>
      </c>
      <c r="CI15" s="16">
        <f t="shared" si="28"/>
        <v>0</v>
      </c>
      <c r="CJ15" s="16">
        <f t="shared" si="29"/>
        <v>0</v>
      </c>
      <c r="CK15" s="16">
        <f t="shared" si="30"/>
        <v>0</v>
      </c>
      <c r="CL15" s="23"/>
      <c r="CN15" s="4">
        <f>ABS(CN14)</f>
        <v>800</v>
      </c>
      <c r="CO15" s="34">
        <v>2</v>
      </c>
      <c r="CP15" s="16">
        <v>2000</v>
      </c>
      <c r="CQ15" s="16"/>
      <c r="CR15" s="16"/>
      <c r="CS15" s="16"/>
      <c r="CT15" s="12">
        <f t="shared" ref="CT15:CT22" si="33">IF(CN14&lt;10000,BB14,0)</f>
        <v>750</v>
      </c>
      <c r="CU15" s="23">
        <f>IF($CN$13&lt;=10000,CU14-1000,$CN$13-10000)</f>
        <v>800</v>
      </c>
    </row>
    <row r="16" spans="1:101" ht="13.5" thickBot="1" x14ac:dyDescent="0.25">
      <c r="A16" s="24"/>
      <c r="B16" s="110"/>
      <c r="C16" s="110"/>
      <c r="D16" s="110"/>
      <c r="E16" s="110"/>
      <c r="F16" s="110"/>
      <c r="G16" s="111"/>
      <c r="H16" s="25"/>
      <c r="I16" s="25"/>
      <c r="J16" s="25"/>
      <c r="K16" s="26">
        <f t="shared" si="0"/>
        <v>0</v>
      </c>
      <c r="L16" s="39">
        <f t="shared" si="1"/>
        <v>1.5</v>
      </c>
      <c r="M16" s="40">
        <f t="shared" si="2"/>
        <v>10</v>
      </c>
      <c r="N16" s="116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B16" s="112">
        <v>20</v>
      </c>
      <c r="AC16" s="30">
        <f t="shared" si="3"/>
        <v>0</v>
      </c>
      <c r="AD16" s="31">
        <f t="shared" si="4"/>
        <v>1.5</v>
      </c>
      <c r="AE16" s="32">
        <f t="shared" si="5"/>
        <v>2.5</v>
      </c>
      <c r="AF16" s="32">
        <f t="shared" si="6"/>
        <v>0</v>
      </c>
      <c r="AG16" s="33">
        <f t="shared" si="7"/>
        <v>0</v>
      </c>
      <c r="AH16" s="32">
        <f t="shared" si="8"/>
        <v>4</v>
      </c>
      <c r="AI16" s="32">
        <f t="shared" si="9"/>
        <v>0</v>
      </c>
      <c r="AJ16" s="33">
        <f t="shared" si="10"/>
        <v>0</v>
      </c>
      <c r="AK16" s="32">
        <f t="shared" si="11"/>
        <v>6</v>
      </c>
      <c r="AL16" s="32">
        <f t="shared" si="12"/>
        <v>0</v>
      </c>
      <c r="AM16" s="33">
        <f t="shared" si="13"/>
        <v>0</v>
      </c>
      <c r="AN16" s="32">
        <f t="shared" si="14"/>
        <v>1.5</v>
      </c>
      <c r="AO16" s="4">
        <f t="shared" si="15"/>
        <v>10</v>
      </c>
      <c r="AP16" s="4">
        <f t="shared" si="16"/>
        <v>0</v>
      </c>
      <c r="AQ16" s="4">
        <f t="shared" si="17"/>
        <v>0</v>
      </c>
      <c r="AR16" s="4">
        <f t="shared" si="18"/>
        <v>0</v>
      </c>
      <c r="AS16" s="4">
        <f t="shared" si="19"/>
        <v>10</v>
      </c>
      <c r="AT16" s="4">
        <f t="shared" si="20"/>
        <v>0</v>
      </c>
      <c r="AU16" s="4">
        <f t="shared" si="21"/>
        <v>0</v>
      </c>
      <c r="AV16" s="4">
        <f t="shared" si="22"/>
        <v>0</v>
      </c>
      <c r="AZ16" s="55"/>
      <c r="BA16" s="55">
        <f t="shared" si="31"/>
        <v>1000</v>
      </c>
      <c r="BB16" s="36">
        <f>IF(BA16&lt;=4000,BA16*0.59,0)</f>
        <v>590</v>
      </c>
      <c r="BC16" s="37"/>
      <c r="BD16" s="60">
        <f t="shared" si="32"/>
        <v>590</v>
      </c>
      <c r="BE16" s="59"/>
      <c r="BF16" s="37"/>
      <c r="BG16" s="60"/>
      <c r="BH16" s="59"/>
      <c r="BI16" s="37"/>
      <c r="BJ16" s="60"/>
      <c r="BK16" s="59"/>
      <c r="BL16" s="37"/>
      <c r="BM16" s="60"/>
      <c r="BN16" s="61"/>
      <c r="BO16" s="37"/>
      <c r="BP16" s="60"/>
      <c r="BQ16" s="59"/>
      <c r="BR16" s="37"/>
      <c r="BS16" s="60"/>
      <c r="BT16" s="37"/>
      <c r="BU16" s="37"/>
      <c r="BV16" s="38"/>
      <c r="BW16" s="37"/>
      <c r="BX16" s="37"/>
      <c r="BY16" s="38"/>
      <c r="BZ16" s="38"/>
      <c r="CA16" s="38"/>
      <c r="CB16" s="38"/>
      <c r="CC16" s="38"/>
      <c r="CD16" s="16">
        <f t="shared" si="23"/>
        <v>0</v>
      </c>
      <c r="CE16" s="16">
        <f t="shared" si="24"/>
        <v>0</v>
      </c>
      <c r="CF16" s="16">
        <f t="shared" si="25"/>
        <v>0</v>
      </c>
      <c r="CG16" s="16">
        <f t="shared" si="26"/>
        <v>0</v>
      </c>
      <c r="CH16" s="16">
        <f t="shared" si="27"/>
        <v>0</v>
      </c>
      <c r="CI16" s="16">
        <f t="shared" si="28"/>
        <v>0</v>
      </c>
      <c r="CJ16" s="16">
        <f t="shared" si="29"/>
        <v>0</v>
      </c>
      <c r="CK16" s="16">
        <f t="shared" si="30"/>
        <v>0</v>
      </c>
      <c r="CL16" s="23"/>
      <c r="CO16" s="34">
        <v>3</v>
      </c>
      <c r="CP16" s="16">
        <v>3000</v>
      </c>
      <c r="CQ16" s="16"/>
      <c r="CR16" s="16"/>
      <c r="CS16" s="16"/>
      <c r="CT16" s="12">
        <f t="shared" si="33"/>
        <v>660</v>
      </c>
      <c r="CU16" s="23">
        <f t="shared" ref="CU16:CU22" si="34">IF($CN$13&lt;=10000,CU15-1000,$CN$13-10000)</f>
        <v>800</v>
      </c>
    </row>
    <row r="17" spans="1:99" ht="13.5" thickBot="1" x14ac:dyDescent="0.25">
      <c r="A17" s="24"/>
      <c r="B17" s="110"/>
      <c r="C17" s="110"/>
      <c r="D17" s="110"/>
      <c r="E17" s="110"/>
      <c r="F17" s="110"/>
      <c r="G17" s="111"/>
      <c r="H17" s="25"/>
      <c r="I17" s="25"/>
      <c r="J17" s="25"/>
      <c r="K17" s="26">
        <f t="shared" si="0"/>
        <v>0</v>
      </c>
      <c r="L17" s="39">
        <f t="shared" si="1"/>
        <v>1.5</v>
      </c>
      <c r="M17" s="40">
        <f t="shared" si="2"/>
        <v>10</v>
      </c>
      <c r="N17" s="116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B17" s="112">
        <v>20</v>
      </c>
      <c r="AC17" s="30">
        <f t="shared" si="3"/>
        <v>0</v>
      </c>
      <c r="AD17" s="31">
        <f t="shared" si="4"/>
        <v>1.5</v>
      </c>
      <c r="AE17" s="32">
        <f t="shared" si="5"/>
        <v>2.5</v>
      </c>
      <c r="AF17" s="32">
        <f t="shared" si="6"/>
        <v>0</v>
      </c>
      <c r="AG17" s="33">
        <f t="shared" si="7"/>
        <v>0</v>
      </c>
      <c r="AH17" s="32">
        <f t="shared" si="8"/>
        <v>4</v>
      </c>
      <c r="AI17" s="32">
        <f t="shared" si="9"/>
        <v>0</v>
      </c>
      <c r="AJ17" s="33">
        <f t="shared" si="10"/>
        <v>0</v>
      </c>
      <c r="AK17" s="32">
        <f t="shared" si="11"/>
        <v>6</v>
      </c>
      <c r="AL17" s="32">
        <f t="shared" si="12"/>
        <v>0</v>
      </c>
      <c r="AM17" s="33">
        <f t="shared" si="13"/>
        <v>0</v>
      </c>
      <c r="AN17" s="32">
        <f t="shared" si="14"/>
        <v>1.5</v>
      </c>
      <c r="AO17" s="4">
        <f t="shared" si="15"/>
        <v>10</v>
      </c>
      <c r="AP17" s="4">
        <f t="shared" si="16"/>
        <v>0</v>
      </c>
      <c r="AQ17" s="4">
        <f t="shared" si="17"/>
        <v>0</v>
      </c>
      <c r="AR17" s="4">
        <f t="shared" si="18"/>
        <v>0</v>
      </c>
      <c r="AS17" s="4">
        <f t="shared" si="19"/>
        <v>10</v>
      </c>
      <c r="AT17" s="4">
        <f t="shared" si="20"/>
        <v>0</v>
      </c>
      <c r="AU17" s="4">
        <f t="shared" si="21"/>
        <v>0</v>
      </c>
      <c r="AV17" s="4">
        <f t="shared" si="22"/>
        <v>0</v>
      </c>
      <c r="AZ17" s="55"/>
      <c r="BA17" s="55">
        <f t="shared" si="31"/>
        <v>1000</v>
      </c>
      <c r="BB17" s="36">
        <f>IF(BA17&lt;=5000,BA17*0.52,0)</f>
        <v>520</v>
      </c>
      <c r="BC17" s="37"/>
      <c r="BD17" s="60">
        <f t="shared" si="32"/>
        <v>520</v>
      </c>
      <c r="BE17" s="59"/>
      <c r="BF17" s="37"/>
      <c r="BG17" s="60"/>
      <c r="BH17" s="59"/>
      <c r="BI17" s="37"/>
      <c r="BJ17" s="60"/>
      <c r="BK17" s="59"/>
      <c r="BL17" s="37"/>
      <c r="BM17" s="60"/>
      <c r="BN17" s="61"/>
      <c r="BO17" s="37"/>
      <c r="BP17" s="60"/>
      <c r="BQ17" s="59"/>
      <c r="BR17" s="37"/>
      <c r="BS17" s="60"/>
      <c r="BT17" s="37"/>
      <c r="BU17" s="37"/>
      <c r="BV17" s="38"/>
      <c r="BW17" s="37"/>
      <c r="BX17" s="37"/>
      <c r="BY17" s="38"/>
      <c r="BZ17" s="38"/>
      <c r="CA17" s="38"/>
      <c r="CB17" s="38"/>
      <c r="CC17" s="38"/>
      <c r="CD17" s="16">
        <f t="shared" si="23"/>
        <v>0</v>
      </c>
      <c r="CE17" s="16">
        <f t="shared" si="24"/>
        <v>0</v>
      </c>
      <c r="CF17" s="16">
        <f t="shared" si="25"/>
        <v>0</v>
      </c>
      <c r="CG17" s="16">
        <f t="shared" si="26"/>
        <v>0</v>
      </c>
      <c r="CH17" s="16">
        <f t="shared" si="27"/>
        <v>0</v>
      </c>
      <c r="CI17" s="16">
        <f t="shared" si="28"/>
        <v>0</v>
      </c>
      <c r="CJ17" s="16">
        <f t="shared" si="29"/>
        <v>0</v>
      </c>
      <c r="CK17" s="16">
        <f t="shared" si="30"/>
        <v>0</v>
      </c>
      <c r="CL17" s="23"/>
      <c r="CO17" s="34">
        <v>4</v>
      </c>
      <c r="CP17" s="16">
        <v>4000</v>
      </c>
      <c r="CQ17" s="16"/>
      <c r="CR17" s="16"/>
      <c r="CS17" s="16"/>
      <c r="CT17" s="12">
        <f t="shared" si="33"/>
        <v>590</v>
      </c>
      <c r="CU17" s="23">
        <f t="shared" si="34"/>
        <v>800</v>
      </c>
    </row>
    <row r="18" spans="1:99" ht="13.5" thickBot="1" x14ac:dyDescent="0.25">
      <c r="A18" s="24"/>
      <c r="B18" s="110"/>
      <c r="C18" s="110"/>
      <c r="D18" s="110"/>
      <c r="E18" s="110"/>
      <c r="F18" s="110"/>
      <c r="G18" s="111"/>
      <c r="H18" s="25"/>
      <c r="I18" s="25"/>
      <c r="J18" s="25"/>
      <c r="K18" s="26">
        <f t="shared" si="0"/>
        <v>0</v>
      </c>
      <c r="L18" s="39">
        <f t="shared" si="1"/>
        <v>1.5</v>
      </c>
      <c r="M18" s="40">
        <f t="shared" si="2"/>
        <v>10</v>
      </c>
      <c r="N18" s="29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6"/>
      <c r="AB18" s="112">
        <v>20</v>
      </c>
      <c r="AC18" s="30">
        <f t="shared" si="3"/>
        <v>0</v>
      </c>
      <c r="AD18" s="31">
        <f t="shared" si="4"/>
        <v>1.5</v>
      </c>
      <c r="AE18" s="32">
        <f t="shared" si="5"/>
        <v>2.5</v>
      </c>
      <c r="AF18" s="32">
        <f t="shared" si="6"/>
        <v>0</v>
      </c>
      <c r="AG18" s="33">
        <f t="shared" si="7"/>
        <v>0</v>
      </c>
      <c r="AH18" s="32">
        <f t="shared" si="8"/>
        <v>4</v>
      </c>
      <c r="AI18" s="32">
        <f t="shared" si="9"/>
        <v>0</v>
      </c>
      <c r="AJ18" s="33">
        <f t="shared" si="10"/>
        <v>0</v>
      </c>
      <c r="AK18" s="32">
        <f t="shared" si="11"/>
        <v>6</v>
      </c>
      <c r="AL18" s="32">
        <f t="shared" si="12"/>
        <v>0</v>
      </c>
      <c r="AM18" s="33">
        <f t="shared" si="13"/>
        <v>0</v>
      </c>
      <c r="AN18" s="32">
        <f t="shared" si="14"/>
        <v>1.5</v>
      </c>
      <c r="AO18" s="4">
        <f t="shared" si="15"/>
        <v>10</v>
      </c>
      <c r="AP18" s="4">
        <f t="shared" si="16"/>
        <v>0</v>
      </c>
      <c r="AQ18" s="4">
        <f t="shared" si="17"/>
        <v>0</v>
      </c>
      <c r="AR18" s="4">
        <f t="shared" si="18"/>
        <v>0</v>
      </c>
      <c r="AS18" s="4">
        <f t="shared" si="19"/>
        <v>10</v>
      </c>
      <c r="AT18" s="4">
        <f t="shared" si="20"/>
        <v>0</v>
      </c>
      <c r="AU18" s="4">
        <f t="shared" si="21"/>
        <v>0</v>
      </c>
      <c r="AV18" s="4">
        <f t="shared" si="22"/>
        <v>0</v>
      </c>
      <c r="AZ18" s="55"/>
      <c r="BA18" s="55">
        <f t="shared" si="31"/>
        <v>1000</v>
      </c>
      <c r="BB18" s="36">
        <f>IF(BA18&lt;=6000,BA18*0.45,0)</f>
        <v>450</v>
      </c>
      <c r="BC18" s="37"/>
      <c r="BD18" s="60">
        <f t="shared" si="32"/>
        <v>450</v>
      </c>
      <c r="BE18" s="59"/>
      <c r="BF18" s="37"/>
      <c r="BG18" s="60"/>
      <c r="BH18" s="59"/>
      <c r="BI18" s="37"/>
      <c r="BJ18" s="60"/>
      <c r="BK18" s="59"/>
      <c r="BL18" s="37"/>
      <c r="BM18" s="60"/>
      <c r="BN18" s="61"/>
      <c r="BO18" s="37"/>
      <c r="BP18" s="60"/>
      <c r="BQ18" s="59"/>
      <c r="BR18" s="37"/>
      <c r="BS18" s="60"/>
      <c r="BT18" s="37"/>
      <c r="BU18" s="37"/>
      <c r="BV18" s="38"/>
      <c r="BW18" s="37"/>
      <c r="BX18" s="37"/>
      <c r="BY18" s="38"/>
      <c r="BZ18" s="38"/>
      <c r="CA18" s="38"/>
      <c r="CB18" s="38"/>
      <c r="CC18" s="38"/>
      <c r="CD18" s="16">
        <f t="shared" si="23"/>
        <v>0</v>
      </c>
      <c r="CE18" s="16">
        <f t="shared" si="24"/>
        <v>0</v>
      </c>
      <c r="CF18" s="16">
        <f t="shared" si="25"/>
        <v>0</v>
      </c>
      <c r="CG18" s="16">
        <f t="shared" si="26"/>
        <v>0</v>
      </c>
      <c r="CH18" s="16">
        <f t="shared" si="27"/>
        <v>0</v>
      </c>
      <c r="CI18" s="16">
        <f t="shared" si="28"/>
        <v>0</v>
      </c>
      <c r="CJ18" s="16">
        <f t="shared" si="29"/>
        <v>0</v>
      </c>
      <c r="CK18" s="16">
        <f t="shared" si="30"/>
        <v>0</v>
      </c>
      <c r="CL18" s="23"/>
      <c r="CO18" s="34">
        <v>5</v>
      </c>
      <c r="CP18" s="16">
        <v>5000</v>
      </c>
      <c r="CQ18" s="16"/>
      <c r="CR18" s="16"/>
      <c r="CS18" s="16"/>
      <c r="CT18" s="12">
        <f t="shared" si="33"/>
        <v>520</v>
      </c>
      <c r="CU18" s="23">
        <f t="shared" si="34"/>
        <v>800</v>
      </c>
    </row>
    <row r="19" spans="1:99" ht="13.5" thickBot="1" x14ac:dyDescent="0.25">
      <c r="A19" s="24"/>
      <c r="B19" s="110"/>
      <c r="C19" s="110"/>
      <c r="D19" s="110"/>
      <c r="E19" s="110"/>
      <c r="F19" s="110"/>
      <c r="G19" s="111"/>
      <c r="H19" s="25"/>
      <c r="I19" s="25"/>
      <c r="J19" s="25"/>
      <c r="K19" s="26">
        <f t="shared" si="0"/>
        <v>0</v>
      </c>
      <c r="L19" s="39">
        <f t="shared" si="1"/>
        <v>1.5</v>
      </c>
      <c r="M19" s="40">
        <f t="shared" si="2"/>
        <v>10</v>
      </c>
      <c r="N19" s="2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6"/>
      <c r="AB19" s="112">
        <v>20</v>
      </c>
      <c r="AC19" s="30">
        <f t="shared" si="3"/>
        <v>0</v>
      </c>
      <c r="AD19" s="31">
        <f t="shared" si="4"/>
        <v>1.5</v>
      </c>
      <c r="AE19" s="32">
        <f t="shared" si="5"/>
        <v>2.5</v>
      </c>
      <c r="AF19" s="32">
        <f t="shared" si="6"/>
        <v>0</v>
      </c>
      <c r="AG19" s="33">
        <f t="shared" si="7"/>
        <v>0</v>
      </c>
      <c r="AH19" s="32">
        <f t="shared" si="8"/>
        <v>4</v>
      </c>
      <c r="AI19" s="32">
        <f t="shared" si="9"/>
        <v>0</v>
      </c>
      <c r="AJ19" s="33">
        <f t="shared" si="10"/>
        <v>0</v>
      </c>
      <c r="AK19" s="32">
        <f t="shared" si="11"/>
        <v>6</v>
      </c>
      <c r="AL19" s="32">
        <f t="shared" si="12"/>
        <v>0</v>
      </c>
      <c r="AM19" s="33">
        <f t="shared" si="13"/>
        <v>0</v>
      </c>
      <c r="AN19" s="32">
        <f t="shared" si="14"/>
        <v>1.5</v>
      </c>
      <c r="AO19" s="4">
        <f t="shared" si="15"/>
        <v>10</v>
      </c>
      <c r="AP19" s="4">
        <f t="shared" si="16"/>
        <v>0</v>
      </c>
      <c r="AQ19" s="4">
        <f t="shared" si="17"/>
        <v>0</v>
      </c>
      <c r="AR19" s="4">
        <f t="shared" si="18"/>
        <v>0</v>
      </c>
      <c r="AS19" s="4">
        <f t="shared" si="19"/>
        <v>10</v>
      </c>
      <c r="AT19" s="4">
        <f t="shared" si="20"/>
        <v>0</v>
      </c>
      <c r="AU19" s="4">
        <f t="shared" si="21"/>
        <v>0</v>
      </c>
      <c r="AV19" s="4">
        <f t="shared" si="22"/>
        <v>0</v>
      </c>
      <c r="AZ19" s="55"/>
      <c r="BA19" s="55">
        <f t="shared" si="31"/>
        <v>1000</v>
      </c>
      <c r="BB19" s="36">
        <f>IF(BA19&lt;=7000,BA19*0.4,0)</f>
        <v>400</v>
      </c>
      <c r="BC19" s="37"/>
      <c r="BD19" s="60">
        <f t="shared" si="32"/>
        <v>400</v>
      </c>
      <c r="BE19" s="59"/>
      <c r="BF19" s="37"/>
      <c r="BG19" s="60"/>
      <c r="BH19" s="59"/>
      <c r="BI19" s="37"/>
      <c r="BJ19" s="60"/>
      <c r="BK19" s="59"/>
      <c r="BL19" s="37"/>
      <c r="BM19" s="60"/>
      <c r="BN19" s="61"/>
      <c r="BO19" s="37"/>
      <c r="BP19" s="60"/>
      <c r="BQ19" s="59"/>
      <c r="BR19" s="37"/>
      <c r="BS19" s="60"/>
      <c r="BT19" s="37"/>
      <c r="BU19" s="37"/>
      <c r="BV19" s="38"/>
      <c r="BW19" s="37"/>
      <c r="BX19" s="37"/>
      <c r="BY19" s="38"/>
      <c r="BZ19" s="38"/>
      <c r="CA19" s="38"/>
      <c r="CB19" s="38"/>
      <c r="CC19" s="38"/>
      <c r="CD19" s="16">
        <f t="shared" si="23"/>
        <v>0</v>
      </c>
      <c r="CE19" s="16">
        <f t="shared" si="24"/>
        <v>0</v>
      </c>
      <c r="CF19" s="16">
        <f t="shared" si="25"/>
        <v>0</v>
      </c>
      <c r="CG19" s="16">
        <f t="shared" si="26"/>
        <v>0</v>
      </c>
      <c r="CH19" s="16">
        <f t="shared" si="27"/>
        <v>0</v>
      </c>
      <c r="CI19" s="16">
        <f t="shared" si="28"/>
        <v>0</v>
      </c>
      <c r="CJ19" s="16">
        <f t="shared" si="29"/>
        <v>0</v>
      </c>
      <c r="CK19" s="16">
        <f t="shared" si="30"/>
        <v>0</v>
      </c>
      <c r="CL19" s="23"/>
      <c r="CO19" s="34">
        <v>6</v>
      </c>
      <c r="CP19" s="16">
        <v>6000</v>
      </c>
      <c r="CQ19" s="16"/>
      <c r="CR19" s="16"/>
      <c r="CS19" s="16"/>
      <c r="CT19" s="12">
        <f t="shared" si="33"/>
        <v>450</v>
      </c>
      <c r="CU19" s="23">
        <f t="shared" si="34"/>
        <v>800</v>
      </c>
    </row>
    <row r="20" spans="1:99" ht="13.5" thickBot="1" x14ac:dyDescent="0.25">
      <c r="A20" s="24"/>
      <c r="B20" s="110"/>
      <c r="C20" s="110"/>
      <c r="D20" s="110"/>
      <c r="E20" s="110"/>
      <c r="F20" s="110"/>
      <c r="G20" s="111"/>
      <c r="H20" s="25"/>
      <c r="I20" s="25"/>
      <c r="J20" s="25"/>
      <c r="K20" s="26">
        <f t="shared" si="0"/>
        <v>0</v>
      </c>
      <c r="L20" s="39">
        <f t="shared" si="1"/>
        <v>1.5</v>
      </c>
      <c r="M20" s="40">
        <f t="shared" si="2"/>
        <v>10</v>
      </c>
      <c r="N20" s="29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6"/>
      <c r="AB20" s="112">
        <v>20</v>
      </c>
      <c r="AC20" s="30">
        <f t="shared" si="3"/>
        <v>0</v>
      </c>
      <c r="AD20" s="31">
        <f t="shared" si="4"/>
        <v>1.5</v>
      </c>
      <c r="AE20" s="32">
        <f t="shared" si="5"/>
        <v>2.5</v>
      </c>
      <c r="AF20" s="32">
        <f t="shared" si="6"/>
        <v>0</v>
      </c>
      <c r="AG20" s="33">
        <f t="shared" si="7"/>
        <v>0</v>
      </c>
      <c r="AH20" s="32">
        <f t="shared" si="8"/>
        <v>4</v>
      </c>
      <c r="AI20" s="32">
        <f t="shared" si="9"/>
        <v>0</v>
      </c>
      <c r="AJ20" s="33">
        <f t="shared" si="10"/>
        <v>0</v>
      </c>
      <c r="AK20" s="32">
        <f t="shared" si="11"/>
        <v>6</v>
      </c>
      <c r="AL20" s="32">
        <f t="shared" si="12"/>
        <v>0</v>
      </c>
      <c r="AM20" s="33">
        <f t="shared" si="13"/>
        <v>0</v>
      </c>
      <c r="AN20" s="32">
        <f t="shared" si="14"/>
        <v>1.5</v>
      </c>
      <c r="AO20" s="4">
        <f t="shared" si="15"/>
        <v>10</v>
      </c>
      <c r="AP20" s="4">
        <f t="shared" si="16"/>
        <v>0</v>
      </c>
      <c r="AQ20" s="4">
        <f t="shared" si="17"/>
        <v>0</v>
      </c>
      <c r="AR20" s="4">
        <f t="shared" si="18"/>
        <v>0</v>
      </c>
      <c r="AS20" s="4">
        <f t="shared" si="19"/>
        <v>10</v>
      </c>
      <c r="AT20" s="4">
        <f t="shared" si="20"/>
        <v>0</v>
      </c>
      <c r="AU20" s="4">
        <f t="shared" si="21"/>
        <v>0</v>
      </c>
      <c r="AV20" s="4">
        <f t="shared" si="22"/>
        <v>0</v>
      </c>
      <c r="AZ20" s="55"/>
      <c r="BA20" s="55">
        <f t="shared" si="31"/>
        <v>1000</v>
      </c>
      <c r="BB20" s="36">
        <f>IF(BA20&lt;=8000,BA20*0.35,0)</f>
        <v>350</v>
      </c>
      <c r="BC20" s="37"/>
      <c r="BD20" s="60">
        <f t="shared" si="32"/>
        <v>350</v>
      </c>
      <c r="BE20" s="59"/>
      <c r="BF20" s="37"/>
      <c r="BG20" s="60"/>
      <c r="BH20" s="59"/>
      <c r="BI20" s="37"/>
      <c r="BJ20" s="60"/>
      <c r="BK20" s="59"/>
      <c r="BL20" s="37"/>
      <c r="BM20" s="60"/>
      <c r="BN20" s="61"/>
      <c r="BO20" s="37"/>
      <c r="BP20" s="60"/>
      <c r="BQ20" s="59"/>
      <c r="BR20" s="37"/>
      <c r="BS20" s="60"/>
      <c r="BT20" s="37"/>
      <c r="BU20" s="37"/>
      <c r="BV20" s="38"/>
      <c r="BW20" s="37"/>
      <c r="BX20" s="37"/>
      <c r="BY20" s="38"/>
      <c r="BZ20" s="38"/>
      <c r="CA20" s="38"/>
      <c r="CB20" s="38"/>
      <c r="CC20" s="38"/>
      <c r="CD20" s="16">
        <f t="shared" si="23"/>
        <v>0</v>
      </c>
      <c r="CE20" s="16">
        <f t="shared" si="24"/>
        <v>0</v>
      </c>
      <c r="CF20" s="16">
        <f t="shared" si="25"/>
        <v>0</v>
      </c>
      <c r="CG20" s="16">
        <f t="shared" si="26"/>
        <v>0</v>
      </c>
      <c r="CH20" s="16">
        <f t="shared" si="27"/>
        <v>0</v>
      </c>
      <c r="CI20" s="16">
        <f t="shared" si="28"/>
        <v>0</v>
      </c>
      <c r="CJ20" s="16">
        <f t="shared" si="29"/>
        <v>0</v>
      </c>
      <c r="CK20" s="16">
        <f t="shared" si="30"/>
        <v>0</v>
      </c>
      <c r="CL20" s="23"/>
      <c r="CO20" s="34">
        <v>7</v>
      </c>
      <c r="CP20" s="16">
        <v>7000</v>
      </c>
      <c r="CQ20" s="16"/>
      <c r="CR20" s="16"/>
      <c r="CS20" s="16"/>
      <c r="CT20" s="12">
        <f t="shared" si="33"/>
        <v>400</v>
      </c>
      <c r="CU20" s="23">
        <f t="shared" si="34"/>
        <v>800</v>
      </c>
    </row>
    <row r="21" spans="1:99" ht="13.5" thickBot="1" x14ac:dyDescent="0.25">
      <c r="A21" s="24"/>
      <c r="B21" s="110"/>
      <c r="C21" s="110"/>
      <c r="D21" s="110"/>
      <c r="E21" s="110"/>
      <c r="F21" s="110"/>
      <c r="G21" s="111"/>
      <c r="H21" s="25"/>
      <c r="I21" s="25"/>
      <c r="J21" s="25"/>
      <c r="K21" s="26">
        <f t="shared" si="0"/>
        <v>0</v>
      </c>
      <c r="L21" s="39">
        <f t="shared" si="1"/>
        <v>1.5</v>
      </c>
      <c r="M21" s="40">
        <f t="shared" si="2"/>
        <v>10</v>
      </c>
      <c r="N21" s="2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6"/>
      <c r="AB21" s="112">
        <v>20</v>
      </c>
      <c r="AC21" s="30">
        <f t="shared" si="3"/>
        <v>0</v>
      </c>
      <c r="AD21" s="31">
        <f t="shared" si="4"/>
        <v>1.5</v>
      </c>
      <c r="AE21" s="32">
        <f t="shared" si="5"/>
        <v>2.5</v>
      </c>
      <c r="AF21" s="32">
        <f t="shared" si="6"/>
        <v>0</v>
      </c>
      <c r="AG21" s="33">
        <f t="shared" si="7"/>
        <v>0</v>
      </c>
      <c r="AH21" s="32">
        <f t="shared" si="8"/>
        <v>4</v>
      </c>
      <c r="AI21" s="32">
        <f t="shared" si="9"/>
        <v>0</v>
      </c>
      <c r="AJ21" s="33">
        <f t="shared" si="10"/>
        <v>0</v>
      </c>
      <c r="AK21" s="32">
        <f t="shared" si="11"/>
        <v>6</v>
      </c>
      <c r="AL21" s="32">
        <f t="shared" si="12"/>
        <v>0</v>
      </c>
      <c r="AM21" s="33">
        <f t="shared" si="13"/>
        <v>0</v>
      </c>
      <c r="AN21" s="32">
        <f t="shared" si="14"/>
        <v>1.5</v>
      </c>
      <c r="AO21" s="4">
        <f t="shared" si="15"/>
        <v>10</v>
      </c>
      <c r="AP21" s="4">
        <f t="shared" si="16"/>
        <v>0</v>
      </c>
      <c r="AQ21" s="4">
        <f t="shared" si="17"/>
        <v>0</v>
      </c>
      <c r="AR21" s="4">
        <f t="shared" si="18"/>
        <v>0</v>
      </c>
      <c r="AS21" s="4">
        <f t="shared" si="19"/>
        <v>10</v>
      </c>
      <c r="AT21" s="4">
        <f t="shared" si="20"/>
        <v>0</v>
      </c>
      <c r="AU21" s="4">
        <f t="shared" si="21"/>
        <v>0</v>
      </c>
      <c r="AV21" s="4">
        <f t="shared" si="22"/>
        <v>0</v>
      </c>
      <c r="AZ21" s="55"/>
      <c r="BA21" s="55">
        <f t="shared" si="31"/>
        <v>1000</v>
      </c>
      <c r="BB21" s="36">
        <f>IF(BA21&lt;=9000,BA21*0.31,0)</f>
        <v>310</v>
      </c>
      <c r="BC21" s="37"/>
      <c r="BD21" s="60">
        <f t="shared" si="32"/>
        <v>310</v>
      </c>
      <c r="BE21" s="64"/>
      <c r="BF21" s="65"/>
      <c r="BG21" s="66"/>
      <c r="BH21" s="64"/>
      <c r="BI21" s="65"/>
      <c r="BJ21" s="66"/>
      <c r="BK21" s="64"/>
      <c r="BL21" s="65"/>
      <c r="BM21" s="66"/>
      <c r="BN21" s="67"/>
      <c r="BO21" s="65"/>
      <c r="BP21" s="66"/>
      <c r="BQ21" s="64"/>
      <c r="BR21" s="65"/>
      <c r="BS21" s="66"/>
      <c r="BT21" s="65"/>
      <c r="BU21" s="65"/>
      <c r="BV21" s="68"/>
      <c r="BW21" s="65"/>
      <c r="BX21" s="65"/>
      <c r="BY21" s="68"/>
      <c r="BZ21" s="68"/>
      <c r="CA21" s="68"/>
      <c r="CB21" s="68"/>
      <c r="CC21" s="68"/>
      <c r="CD21" s="69">
        <f t="shared" si="23"/>
        <v>0</v>
      </c>
      <c r="CE21" s="69">
        <f t="shared" si="24"/>
        <v>0</v>
      </c>
      <c r="CF21" s="69">
        <f t="shared" si="25"/>
        <v>0</v>
      </c>
      <c r="CG21" s="69">
        <f t="shared" si="26"/>
        <v>0</v>
      </c>
      <c r="CH21" s="69">
        <f t="shared" si="27"/>
        <v>0</v>
      </c>
      <c r="CI21" s="69">
        <f t="shared" si="28"/>
        <v>0</v>
      </c>
      <c r="CJ21" s="69">
        <f t="shared" si="29"/>
        <v>0</v>
      </c>
      <c r="CK21" s="69">
        <f t="shared" si="30"/>
        <v>0</v>
      </c>
      <c r="CL21" s="70"/>
      <c r="CO21" s="34">
        <v>8</v>
      </c>
      <c r="CP21" s="16">
        <v>8000</v>
      </c>
      <c r="CQ21" s="16"/>
      <c r="CR21" s="16"/>
      <c r="CS21" s="16"/>
      <c r="CT21" s="12">
        <f t="shared" si="33"/>
        <v>350</v>
      </c>
      <c r="CU21" s="23">
        <f t="shared" si="34"/>
        <v>800</v>
      </c>
    </row>
    <row r="22" spans="1:99" ht="13.5" thickBot="1" x14ac:dyDescent="0.25">
      <c r="A22" s="71" t="s">
        <v>7</v>
      </c>
      <c r="B22" s="72">
        <f>SUM(B6:B21)</f>
        <v>18</v>
      </c>
      <c r="C22" s="72">
        <f t="shared" ref="B22:G22" si="35">SUM(C6:C9)</f>
        <v>0</v>
      </c>
      <c r="D22" s="72">
        <f t="shared" si="35"/>
        <v>0</v>
      </c>
      <c r="E22" s="72">
        <f t="shared" si="35"/>
        <v>0</v>
      </c>
      <c r="F22" s="72">
        <f>SUM(F6:F21)</f>
        <v>35</v>
      </c>
      <c r="G22" s="72">
        <f>SUM(G6:G21)</f>
        <v>2</v>
      </c>
      <c r="H22" s="72">
        <f>SUM(H6:H21)</f>
        <v>0</v>
      </c>
      <c r="I22" s="72">
        <f>SUM(I6:I21)</f>
        <v>0</v>
      </c>
      <c r="J22" s="72">
        <f>SUM(J6:J21)</f>
        <v>0</v>
      </c>
      <c r="K22" s="72">
        <f>SUM(K6:K21)</f>
        <v>29720</v>
      </c>
      <c r="L22" s="73">
        <f>D96</f>
        <v>6</v>
      </c>
      <c r="M22" s="74">
        <v>35</v>
      </c>
      <c r="N22" s="74" t="s">
        <v>16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T22" s="4">
        <f>SUM(AT6:AT21)</f>
        <v>9520</v>
      </c>
      <c r="AU22" s="4">
        <f>SUM(AU6:AU21)</f>
        <v>10800</v>
      </c>
      <c r="AV22" s="4">
        <f>SUM(AV6:AV21)</f>
        <v>9400</v>
      </c>
      <c r="AZ22" s="55"/>
      <c r="BA22" s="55">
        <f t="shared" si="31"/>
        <v>1000</v>
      </c>
      <c r="BB22" s="36">
        <f>IF(BA22&lt;=10000,BA22*0.27,0)</f>
        <v>270</v>
      </c>
      <c r="BC22" s="37"/>
      <c r="BD22" s="60">
        <f t="shared" si="32"/>
        <v>270</v>
      </c>
      <c r="BE22" s="34"/>
      <c r="BF22" s="16"/>
      <c r="BG22" s="23"/>
      <c r="BH22" s="34"/>
      <c r="BI22" s="16"/>
      <c r="BJ22" s="23"/>
      <c r="BK22" s="34"/>
      <c r="BL22" s="16"/>
      <c r="BM22" s="23"/>
      <c r="BN22" s="34"/>
      <c r="BO22" s="16"/>
      <c r="BP22" s="75"/>
      <c r="BQ22" s="34"/>
      <c r="BR22" s="16"/>
      <c r="BS22" s="75"/>
      <c r="CI22" s="4">
        <f>SUM(CI6:CI21)</f>
        <v>0</v>
      </c>
      <c r="CJ22" s="4">
        <f>SUM(CJ6:CJ21)</f>
        <v>0</v>
      </c>
      <c r="CK22" s="4">
        <f>SUM(CK6:CK21)</f>
        <v>0</v>
      </c>
      <c r="CO22" s="34">
        <v>9</v>
      </c>
      <c r="CP22" s="16">
        <v>9000</v>
      </c>
      <c r="CQ22" s="16"/>
      <c r="CR22" s="16"/>
      <c r="CS22" s="16"/>
      <c r="CT22" s="12">
        <f t="shared" si="33"/>
        <v>310</v>
      </c>
      <c r="CU22" s="23">
        <f t="shared" si="34"/>
        <v>800</v>
      </c>
    </row>
    <row r="23" spans="1:99" ht="13.5" hidden="1" thickBot="1" x14ac:dyDescent="0.25">
      <c r="A23" s="20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7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Z23" s="55"/>
      <c r="BA23" s="55"/>
      <c r="BB23" s="36"/>
      <c r="BC23" s="37"/>
      <c r="BD23" s="60"/>
      <c r="BE23" s="34"/>
      <c r="BF23" s="16"/>
      <c r="BG23" s="23"/>
      <c r="BH23" s="34"/>
      <c r="BI23" s="16"/>
      <c r="BJ23" s="23"/>
      <c r="BK23" s="34"/>
      <c r="BL23" s="16"/>
      <c r="BM23" s="23"/>
      <c r="BN23" s="34"/>
      <c r="BO23" s="16"/>
      <c r="BP23" s="75"/>
      <c r="BQ23" s="34"/>
      <c r="BR23" s="16"/>
      <c r="BS23" s="75"/>
      <c r="CO23" s="34"/>
      <c r="CP23" s="16"/>
      <c r="CQ23" s="16"/>
      <c r="CR23" s="16"/>
      <c r="CS23" s="16"/>
      <c r="CT23" s="12"/>
      <c r="CU23" s="23"/>
    </row>
    <row r="24" spans="1:99" ht="13.5" hidden="1" thickBot="1" x14ac:dyDescent="0.25">
      <c r="A24" s="20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7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Z24" s="55"/>
      <c r="BA24" s="55"/>
      <c r="BB24" s="36"/>
      <c r="BC24" s="37"/>
      <c r="BD24" s="60"/>
      <c r="BE24" s="34"/>
      <c r="BF24" s="16"/>
      <c r="BG24" s="23"/>
      <c r="BH24" s="34"/>
      <c r="BI24" s="16"/>
      <c r="BJ24" s="23"/>
      <c r="BK24" s="34"/>
      <c r="BL24" s="16"/>
      <c r="BM24" s="23"/>
      <c r="BN24" s="34"/>
      <c r="BO24" s="16"/>
      <c r="BP24" s="75"/>
      <c r="BQ24" s="34"/>
      <c r="BR24" s="16"/>
      <c r="BS24" s="75"/>
      <c r="CO24" s="34"/>
      <c r="CP24" s="16"/>
      <c r="CQ24" s="16"/>
      <c r="CR24" s="16"/>
      <c r="CS24" s="16"/>
      <c r="CT24" s="12"/>
      <c r="CU24" s="23"/>
    </row>
    <row r="25" spans="1:99" ht="13.5" hidden="1" thickBot="1" x14ac:dyDescent="0.25">
      <c r="A25" s="20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7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Z25" s="55"/>
      <c r="BA25" s="55"/>
      <c r="BB25" s="36"/>
      <c r="BC25" s="37"/>
      <c r="BD25" s="60"/>
      <c r="BE25" s="34"/>
      <c r="BF25" s="16"/>
      <c r="BG25" s="23"/>
      <c r="BH25" s="34"/>
      <c r="BI25" s="16"/>
      <c r="BJ25" s="23"/>
      <c r="BK25" s="34"/>
      <c r="BL25" s="16"/>
      <c r="BM25" s="23"/>
      <c r="BN25" s="34"/>
      <c r="BO25" s="16"/>
      <c r="BP25" s="75"/>
      <c r="BQ25" s="34"/>
      <c r="BR25" s="16"/>
      <c r="BS25" s="75"/>
      <c r="CO25" s="34"/>
      <c r="CP25" s="16"/>
      <c r="CQ25" s="16"/>
      <c r="CR25" s="16"/>
      <c r="CS25" s="16"/>
      <c r="CT25" s="12"/>
      <c r="CU25" s="23"/>
    </row>
    <row r="26" spans="1:99" ht="13.5" hidden="1" thickBot="1" x14ac:dyDescent="0.25">
      <c r="A26" s="20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7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Z26" s="55"/>
      <c r="BA26" s="55"/>
      <c r="BB26" s="36"/>
      <c r="BC26" s="37"/>
      <c r="BD26" s="60"/>
      <c r="BE26" s="34"/>
      <c r="BF26" s="16"/>
      <c r="BG26" s="23"/>
      <c r="BH26" s="34"/>
      <c r="BI26" s="16"/>
      <c r="BJ26" s="23"/>
      <c r="BK26" s="34"/>
      <c r="BL26" s="16"/>
      <c r="BM26" s="23"/>
      <c r="BN26" s="34"/>
      <c r="BO26" s="16"/>
      <c r="BP26" s="75"/>
      <c r="BQ26" s="34"/>
      <c r="BR26" s="16"/>
      <c r="BS26" s="75"/>
      <c r="CO26" s="34"/>
      <c r="CP26" s="16"/>
      <c r="CQ26" s="16"/>
      <c r="CR26" s="16"/>
      <c r="CS26" s="16"/>
      <c r="CT26" s="12"/>
      <c r="CU26" s="23"/>
    </row>
    <row r="27" spans="1:99" ht="13.5" hidden="1" thickBot="1" x14ac:dyDescent="0.25">
      <c r="A27" s="20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7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Z27" s="55"/>
      <c r="BA27" s="55"/>
      <c r="BB27" s="36"/>
      <c r="BC27" s="37"/>
      <c r="BD27" s="60"/>
      <c r="BE27" s="34"/>
      <c r="BF27" s="16"/>
      <c r="BG27" s="23"/>
      <c r="BH27" s="34"/>
      <c r="BI27" s="16"/>
      <c r="BJ27" s="23"/>
      <c r="BK27" s="34"/>
      <c r="BL27" s="16"/>
      <c r="BM27" s="23"/>
      <c r="BN27" s="34"/>
      <c r="BO27" s="16"/>
      <c r="BP27" s="75"/>
      <c r="BQ27" s="34"/>
      <c r="BR27" s="16"/>
      <c r="BS27" s="75"/>
      <c r="CO27" s="34"/>
      <c r="CP27" s="16"/>
      <c r="CQ27" s="16"/>
      <c r="CR27" s="16"/>
      <c r="CS27" s="16"/>
      <c r="CT27" s="12"/>
      <c r="CU27" s="23"/>
    </row>
    <row r="28" spans="1:99" ht="13.5" hidden="1" thickBot="1" x14ac:dyDescent="0.25">
      <c r="A28" s="20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7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Z28" s="55"/>
      <c r="BA28" s="55"/>
      <c r="BB28" s="36"/>
      <c r="BC28" s="37"/>
      <c r="BD28" s="60"/>
      <c r="BE28" s="34"/>
      <c r="BF28" s="16"/>
      <c r="BG28" s="23"/>
      <c r="BH28" s="34"/>
      <c r="BI28" s="16"/>
      <c r="BJ28" s="23"/>
      <c r="BK28" s="34"/>
      <c r="BL28" s="16"/>
      <c r="BM28" s="23"/>
      <c r="BN28" s="34"/>
      <c r="BO28" s="16"/>
      <c r="BP28" s="75"/>
      <c r="BQ28" s="34"/>
      <c r="BR28" s="16"/>
      <c r="BS28" s="75"/>
      <c r="CO28" s="34"/>
      <c r="CP28" s="16"/>
      <c r="CQ28" s="16"/>
      <c r="CR28" s="16"/>
      <c r="CS28" s="16"/>
      <c r="CT28" s="12"/>
      <c r="CU28" s="23"/>
    </row>
    <row r="29" spans="1:99" ht="13.5" hidden="1" thickBot="1" x14ac:dyDescent="0.25">
      <c r="A29" s="20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7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Z29" s="55"/>
      <c r="BA29" s="55"/>
      <c r="BB29" s="36"/>
      <c r="BC29" s="37"/>
      <c r="BD29" s="60"/>
      <c r="BE29" s="34"/>
      <c r="BF29" s="16"/>
      <c r="BG29" s="23"/>
      <c r="BH29" s="34"/>
      <c r="BI29" s="16"/>
      <c r="BJ29" s="23"/>
      <c r="BK29" s="34"/>
      <c r="BL29" s="16"/>
      <c r="BM29" s="23"/>
      <c r="BN29" s="34"/>
      <c r="BO29" s="16"/>
      <c r="BP29" s="75"/>
      <c r="BQ29" s="34"/>
      <c r="BR29" s="16"/>
      <c r="BS29" s="75"/>
      <c r="CO29" s="34"/>
      <c r="CP29" s="16"/>
      <c r="CQ29" s="16"/>
      <c r="CR29" s="16"/>
      <c r="CS29" s="16"/>
      <c r="CT29" s="12"/>
      <c r="CU29" s="23"/>
    </row>
    <row r="30" spans="1:99" ht="13.5" hidden="1" thickBot="1" x14ac:dyDescent="0.25">
      <c r="A30" s="20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7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Z30" s="55"/>
      <c r="BA30" s="55"/>
      <c r="BB30" s="36"/>
      <c r="BC30" s="37"/>
      <c r="BD30" s="60"/>
      <c r="BE30" s="34"/>
      <c r="BF30" s="16"/>
      <c r="BG30" s="23"/>
      <c r="BH30" s="34"/>
      <c r="BI30" s="16"/>
      <c r="BJ30" s="23"/>
      <c r="BK30" s="34"/>
      <c r="BL30" s="16"/>
      <c r="BM30" s="23"/>
      <c r="BN30" s="34"/>
      <c r="BO30" s="16"/>
      <c r="BP30" s="75"/>
      <c r="BQ30" s="34"/>
      <c r="BR30" s="16"/>
      <c r="BS30" s="75"/>
      <c r="CO30" s="34"/>
      <c r="CP30" s="16"/>
      <c r="CQ30" s="16"/>
      <c r="CR30" s="16"/>
      <c r="CS30" s="16"/>
      <c r="CT30" s="12"/>
      <c r="CU30" s="23"/>
    </row>
    <row r="31" spans="1:99" ht="13.5" hidden="1" thickBot="1" x14ac:dyDescent="0.25">
      <c r="A31" s="20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7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Z31" s="55"/>
      <c r="BA31" s="55"/>
      <c r="BB31" s="36"/>
      <c r="BC31" s="37"/>
      <c r="BD31" s="60"/>
      <c r="BE31" s="34"/>
      <c r="BF31" s="16"/>
      <c r="BG31" s="23"/>
      <c r="BH31" s="34"/>
      <c r="BI31" s="16"/>
      <c r="BJ31" s="23"/>
      <c r="BK31" s="34"/>
      <c r="BL31" s="16"/>
      <c r="BM31" s="23"/>
      <c r="BN31" s="34"/>
      <c r="BO31" s="16"/>
      <c r="BP31" s="75"/>
      <c r="BQ31" s="34"/>
      <c r="BR31" s="16"/>
      <c r="BS31" s="75"/>
      <c r="CO31" s="34"/>
      <c r="CP31" s="16"/>
      <c r="CQ31" s="16"/>
      <c r="CR31" s="16"/>
      <c r="CS31" s="16"/>
      <c r="CT31" s="12"/>
      <c r="CU31" s="23"/>
    </row>
    <row r="32" spans="1:99" ht="13.5" hidden="1" thickBot="1" x14ac:dyDescent="0.25">
      <c r="A32" s="20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7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Z32" s="55"/>
      <c r="BA32" s="55"/>
      <c r="BB32" s="36"/>
      <c r="BC32" s="37"/>
      <c r="BD32" s="60"/>
      <c r="BE32" s="34"/>
      <c r="BF32" s="16"/>
      <c r="BG32" s="23"/>
      <c r="BH32" s="34"/>
      <c r="BI32" s="16"/>
      <c r="BJ32" s="23"/>
      <c r="BK32" s="34"/>
      <c r="BL32" s="16"/>
      <c r="BM32" s="23"/>
      <c r="BN32" s="34"/>
      <c r="BO32" s="16"/>
      <c r="BP32" s="75"/>
      <c r="BQ32" s="34"/>
      <c r="BR32" s="16"/>
      <c r="BS32" s="75"/>
      <c r="CO32" s="34"/>
      <c r="CP32" s="16"/>
      <c r="CQ32" s="16"/>
      <c r="CR32" s="16"/>
      <c r="CS32" s="16"/>
      <c r="CT32" s="12"/>
      <c r="CU32" s="23"/>
    </row>
    <row r="33" spans="1:99" ht="13.5" hidden="1" thickBot="1" x14ac:dyDescent="0.25">
      <c r="A33" s="20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7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Z33" s="55"/>
      <c r="BA33" s="55"/>
      <c r="BB33" s="36"/>
      <c r="BC33" s="37"/>
      <c r="BD33" s="60"/>
      <c r="BE33" s="34"/>
      <c r="BF33" s="16"/>
      <c r="BG33" s="23"/>
      <c r="BH33" s="34"/>
      <c r="BI33" s="16"/>
      <c r="BJ33" s="23"/>
      <c r="BK33" s="34"/>
      <c r="BL33" s="16"/>
      <c r="BM33" s="23"/>
      <c r="BN33" s="34"/>
      <c r="BO33" s="16"/>
      <c r="BP33" s="75"/>
      <c r="BQ33" s="34"/>
      <c r="BR33" s="16"/>
      <c r="BS33" s="75"/>
      <c r="CO33" s="34"/>
      <c r="CP33" s="16"/>
      <c r="CQ33" s="16"/>
      <c r="CR33" s="16"/>
      <c r="CS33" s="16"/>
      <c r="CT33" s="12"/>
      <c r="CU33" s="23"/>
    </row>
    <row r="34" spans="1:99" ht="13.5" hidden="1" thickBot="1" x14ac:dyDescent="0.25">
      <c r="A34" s="20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7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Z34" s="55"/>
      <c r="BA34" s="55"/>
      <c r="BB34" s="36"/>
      <c r="BC34" s="37"/>
      <c r="BD34" s="60"/>
      <c r="BE34" s="34"/>
      <c r="BF34" s="16"/>
      <c r="BG34" s="23"/>
      <c r="BH34" s="34"/>
      <c r="BI34" s="16"/>
      <c r="BJ34" s="23"/>
      <c r="BK34" s="34"/>
      <c r="BL34" s="16"/>
      <c r="BM34" s="23"/>
      <c r="BN34" s="34"/>
      <c r="BO34" s="16"/>
      <c r="BP34" s="75"/>
      <c r="BQ34" s="34"/>
      <c r="BR34" s="16"/>
      <c r="BS34" s="75"/>
      <c r="CO34" s="34"/>
      <c r="CP34" s="16"/>
      <c r="CQ34" s="16"/>
      <c r="CR34" s="16"/>
      <c r="CS34" s="16"/>
      <c r="CT34" s="12"/>
      <c r="CU34" s="23"/>
    </row>
    <row r="35" spans="1:99" ht="13.5" hidden="1" thickBot="1" x14ac:dyDescent="0.25">
      <c r="A35" s="20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7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Z35" s="55"/>
      <c r="BA35" s="55"/>
      <c r="BB35" s="36"/>
      <c r="BC35" s="37"/>
      <c r="BD35" s="60"/>
      <c r="BE35" s="34"/>
      <c r="BF35" s="16"/>
      <c r="BG35" s="23"/>
      <c r="BH35" s="34"/>
      <c r="BI35" s="16"/>
      <c r="BJ35" s="23"/>
      <c r="BK35" s="34"/>
      <c r="BL35" s="16"/>
      <c r="BM35" s="23"/>
      <c r="BN35" s="34"/>
      <c r="BO35" s="16"/>
      <c r="BP35" s="75"/>
      <c r="BQ35" s="34"/>
      <c r="BR35" s="16"/>
      <c r="BS35" s="75"/>
      <c r="CO35" s="34"/>
      <c r="CP35" s="16"/>
      <c r="CQ35" s="16"/>
      <c r="CR35" s="16"/>
      <c r="CS35" s="16"/>
      <c r="CT35" s="12"/>
      <c r="CU35" s="23"/>
    </row>
    <row r="36" spans="1:99" ht="13.5" hidden="1" thickBot="1" x14ac:dyDescent="0.25">
      <c r="A36" s="20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7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Z36" s="55"/>
      <c r="BA36" s="55"/>
      <c r="BB36" s="36"/>
      <c r="BC36" s="37"/>
      <c r="BD36" s="60"/>
      <c r="BE36" s="34"/>
      <c r="BF36" s="16"/>
      <c r="BG36" s="23"/>
      <c r="BH36" s="34"/>
      <c r="BI36" s="16"/>
      <c r="BJ36" s="23"/>
      <c r="BK36" s="34"/>
      <c r="BL36" s="16"/>
      <c r="BM36" s="23"/>
      <c r="BN36" s="34"/>
      <c r="BO36" s="16"/>
      <c r="BP36" s="75"/>
      <c r="BQ36" s="34"/>
      <c r="BR36" s="16"/>
      <c r="BS36" s="75"/>
      <c r="CO36" s="34"/>
      <c r="CP36" s="16"/>
      <c r="CQ36" s="16"/>
      <c r="CR36" s="16"/>
      <c r="CS36" s="16"/>
      <c r="CT36" s="12"/>
      <c r="CU36" s="23"/>
    </row>
    <row r="37" spans="1:99" ht="13.5" hidden="1" thickBot="1" x14ac:dyDescent="0.25">
      <c r="A37" s="20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7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Z37" s="55"/>
      <c r="BA37" s="55"/>
      <c r="BB37" s="36"/>
      <c r="BC37" s="37"/>
      <c r="BD37" s="60"/>
      <c r="BE37" s="34"/>
      <c r="BF37" s="16"/>
      <c r="BG37" s="23"/>
      <c r="BH37" s="34"/>
      <c r="BI37" s="16"/>
      <c r="BJ37" s="23"/>
      <c r="BK37" s="34"/>
      <c r="BL37" s="16"/>
      <c r="BM37" s="23"/>
      <c r="BN37" s="34"/>
      <c r="BO37" s="16"/>
      <c r="BP37" s="75"/>
      <c r="BQ37" s="34"/>
      <c r="BR37" s="16"/>
      <c r="BS37" s="75"/>
      <c r="CO37" s="34"/>
      <c r="CP37" s="16"/>
      <c r="CQ37" s="16"/>
      <c r="CR37" s="16"/>
      <c r="CS37" s="16"/>
      <c r="CT37" s="12"/>
      <c r="CU37" s="23"/>
    </row>
    <row r="38" spans="1:99" ht="13.5" hidden="1" thickBot="1" x14ac:dyDescent="0.25">
      <c r="A38" s="20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7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Z38" s="55"/>
      <c r="BA38" s="55"/>
      <c r="BB38" s="36"/>
      <c r="BC38" s="37"/>
      <c r="BD38" s="60"/>
      <c r="BE38" s="34"/>
      <c r="BF38" s="16"/>
      <c r="BG38" s="23"/>
      <c r="BH38" s="34"/>
      <c r="BI38" s="16"/>
      <c r="BJ38" s="23"/>
      <c r="BK38" s="34"/>
      <c r="BL38" s="16"/>
      <c r="BM38" s="23"/>
      <c r="BN38" s="34"/>
      <c r="BO38" s="16"/>
      <c r="BP38" s="75"/>
      <c r="BQ38" s="34"/>
      <c r="BR38" s="16"/>
      <c r="BS38" s="75"/>
      <c r="CO38" s="34"/>
      <c r="CP38" s="16"/>
      <c r="CQ38" s="16"/>
      <c r="CR38" s="16"/>
      <c r="CS38" s="16"/>
      <c r="CT38" s="12"/>
      <c r="CU38" s="23"/>
    </row>
    <row r="39" spans="1:99" ht="13.5" hidden="1" thickBot="1" x14ac:dyDescent="0.25">
      <c r="A39" s="20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7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Z39" s="55"/>
      <c r="BA39" s="55"/>
      <c r="BB39" s="36"/>
      <c r="BC39" s="37"/>
      <c r="BD39" s="60"/>
      <c r="BE39" s="34"/>
      <c r="BF39" s="16"/>
      <c r="BG39" s="23"/>
      <c r="BH39" s="34"/>
      <c r="BI39" s="16"/>
      <c r="BJ39" s="23"/>
      <c r="BK39" s="34"/>
      <c r="BL39" s="16"/>
      <c r="BM39" s="23"/>
      <c r="BN39" s="34"/>
      <c r="BO39" s="16"/>
      <c r="BP39" s="75"/>
      <c r="BQ39" s="34"/>
      <c r="BR39" s="16"/>
      <c r="BS39" s="75"/>
      <c r="CO39" s="34"/>
      <c r="CP39" s="16"/>
      <c r="CQ39" s="16"/>
      <c r="CR39" s="16"/>
      <c r="CS39" s="16"/>
      <c r="CT39" s="12"/>
      <c r="CU39" s="23"/>
    </row>
    <row r="40" spans="1:99" ht="13.5" hidden="1" thickBot="1" x14ac:dyDescent="0.25">
      <c r="A40" s="20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7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Z40" s="55"/>
      <c r="BA40" s="55"/>
      <c r="BB40" s="36"/>
      <c r="BC40" s="37"/>
      <c r="BD40" s="60"/>
      <c r="BE40" s="34"/>
      <c r="BF40" s="16"/>
      <c r="BG40" s="23"/>
      <c r="BH40" s="34"/>
      <c r="BI40" s="16"/>
      <c r="BJ40" s="23"/>
      <c r="BK40" s="34"/>
      <c r="BL40" s="16"/>
      <c r="BM40" s="23"/>
      <c r="BN40" s="34"/>
      <c r="BO40" s="16"/>
      <c r="BP40" s="75"/>
      <c r="BQ40" s="34"/>
      <c r="BR40" s="16"/>
      <c r="BS40" s="75"/>
      <c r="CO40" s="34"/>
      <c r="CP40" s="16"/>
      <c r="CQ40" s="16"/>
      <c r="CR40" s="16"/>
      <c r="CS40" s="16"/>
      <c r="CT40" s="12"/>
      <c r="CU40" s="23"/>
    </row>
    <row r="41" spans="1:99" ht="13.5" hidden="1" thickBot="1" x14ac:dyDescent="0.25">
      <c r="A41" s="20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7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Z41" s="55"/>
      <c r="BA41" s="55"/>
      <c r="BB41" s="36"/>
      <c r="BC41" s="37"/>
      <c r="BD41" s="60"/>
      <c r="BE41" s="34"/>
      <c r="BF41" s="16"/>
      <c r="BG41" s="23"/>
      <c r="BH41" s="34"/>
      <c r="BI41" s="16"/>
      <c r="BJ41" s="23"/>
      <c r="BK41" s="34"/>
      <c r="BL41" s="16"/>
      <c r="BM41" s="23"/>
      <c r="BN41" s="34"/>
      <c r="BO41" s="16"/>
      <c r="BP41" s="75"/>
      <c r="BQ41" s="34"/>
      <c r="BR41" s="16"/>
      <c r="BS41" s="75"/>
      <c r="CO41" s="34"/>
      <c r="CP41" s="16"/>
      <c r="CQ41" s="16"/>
      <c r="CR41" s="16"/>
      <c r="CS41" s="16"/>
      <c r="CT41" s="12"/>
      <c r="CU41" s="23"/>
    </row>
    <row r="42" spans="1:99" ht="13.5" hidden="1" thickBot="1" x14ac:dyDescent="0.25">
      <c r="A42" s="20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7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Z42" s="55"/>
      <c r="BA42" s="55"/>
      <c r="BB42" s="36"/>
      <c r="BC42" s="37"/>
      <c r="BD42" s="60"/>
      <c r="BE42" s="34"/>
      <c r="BF42" s="16"/>
      <c r="BG42" s="23"/>
      <c r="BH42" s="34"/>
      <c r="BI42" s="16"/>
      <c r="BJ42" s="23"/>
      <c r="BK42" s="34"/>
      <c r="BL42" s="16"/>
      <c r="BM42" s="23"/>
      <c r="BN42" s="34"/>
      <c r="BO42" s="16"/>
      <c r="BP42" s="75"/>
      <c r="BQ42" s="34"/>
      <c r="BR42" s="16"/>
      <c r="BS42" s="75"/>
      <c r="CO42" s="34"/>
      <c r="CP42" s="16"/>
      <c r="CQ42" s="16"/>
      <c r="CR42" s="16"/>
      <c r="CS42" s="16"/>
      <c r="CT42" s="12"/>
      <c r="CU42" s="23"/>
    </row>
    <row r="43" spans="1:99" ht="13.5" hidden="1" thickBot="1" x14ac:dyDescent="0.25">
      <c r="A43" s="20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7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Z43" s="55"/>
      <c r="BA43" s="55"/>
      <c r="BB43" s="36"/>
      <c r="BC43" s="37"/>
      <c r="BD43" s="60"/>
      <c r="BE43" s="34"/>
      <c r="BF43" s="16"/>
      <c r="BG43" s="23"/>
      <c r="BH43" s="34"/>
      <c r="BI43" s="16"/>
      <c r="BJ43" s="23"/>
      <c r="BK43" s="34"/>
      <c r="BL43" s="16"/>
      <c r="BM43" s="23"/>
      <c r="BN43" s="34"/>
      <c r="BO43" s="16"/>
      <c r="BP43" s="75"/>
      <c r="BQ43" s="34"/>
      <c r="BR43" s="16"/>
      <c r="BS43" s="75"/>
      <c r="CO43" s="34"/>
      <c r="CP43" s="16"/>
      <c r="CQ43" s="16"/>
      <c r="CR43" s="16"/>
      <c r="CS43" s="16"/>
      <c r="CT43" s="12"/>
      <c r="CU43" s="23"/>
    </row>
    <row r="44" spans="1:99" ht="13.5" hidden="1" thickBot="1" x14ac:dyDescent="0.25">
      <c r="A44" s="20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7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Z44" s="55"/>
      <c r="BA44" s="55"/>
      <c r="BB44" s="36"/>
      <c r="BC44" s="37"/>
      <c r="BD44" s="60"/>
      <c r="BE44" s="34"/>
      <c r="BF44" s="16"/>
      <c r="BG44" s="23"/>
      <c r="BH44" s="34"/>
      <c r="BI44" s="16"/>
      <c r="BJ44" s="23"/>
      <c r="BK44" s="34"/>
      <c r="BL44" s="16"/>
      <c r="BM44" s="23"/>
      <c r="BN44" s="34"/>
      <c r="BO44" s="16"/>
      <c r="BP44" s="75"/>
      <c r="BQ44" s="34"/>
      <c r="BR44" s="16"/>
      <c r="BS44" s="75"/>
      <c r="CO44" s="34"/>
      <c r="CP44" s="16"/>
      <c r="CQ44" s="16"/>
      <c r="CR44" s="16"/>
      <c r="CS44" s="16"/>
      <c r="CT44" s="12"/>
      <c r="CU44" s="23"/>
    </row>
    <row r="45" spans="1:99" ht="13.5" hidden="1" thickBot="1" x14ac:dyDescent="0.25">
      <c r="A45" s="20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7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Z45" s="55"/>
      <c r="BA45" s="55"/>
      <c r="BB45" s="36"/>
      <c r="BC45" s="37"/>
      <c r="BD45" s="60"/>
      <c r="BE45" s="34"/>
      <c r="BF45" s="16"/>
      <c r="BG45" s="23"/>
      <c r="BH45" s="34"/>
      <c r="BI45" s="16"/>
      <c r="BJ45" s="23"/>
      <c r="BK45" s="34"/>
      <c r="BL45" s="16"/>
      <c r="BM45" s="23"/>
      <c r="BN45" s="34"/>
      <c r="BO45" s="16"/>
      <c r="BP45" s="75"/>
      <c r="BQ45" s="34"/>
      <c r="BR45" s="16"/>
      <c r="BS45" s="75"/>
      <c r="CO45" s="34"/>
      <c r="CP45" s="16"/>
      <c r="CQ45" s="16"/>
      <c r="CR45" s="16"/>
      <c r="CS45" s="16"/>
      <c r="CT45" s="12"/>
      <c r="CU45" s="23"/>
    </row>
    <row r="46" spans="1:99" ht="13.5" hidden="1" thickBot="1" x14ac:dyDescent="0.25">
      <c r="A46" s="20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7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Z46" s="55"/>
      <c r="BA46" s="55"/>
      <c r="BB46" s="36"/>
      <c r="BC46" s="37"/>
      <c r="BD46" s="60"/>
      <c r="BE46" s="34"/>
      <c r="BF46" s="16"/>
      <c r="BG46" s="23"/>
      <c r="BH46" s="34"/>
      <c r="BI46" s="16"/>
      <c r="BJ46" s="23"/>
      <c r="BK46" s="34"/>
      <c r="BL46" s="16"/>
      <c r="BM46" s="23"/>
      <c r="BN46" s="34"/>
      <c r="BO46" s="16"/>
      <c r="BP46" s="75"/>
      <c r="BQ46" s="34"/>
      <c r="BR46" s="16"/>
      <c r="BS46" s="75"/>
      <c r="CO46" s="34"/>
      <c r="CP46" s="16"/>
      <c r="CQ46" s="16"/>
      <c r="CR46" s="16"/>
      <c r="CS46" s="16"/>
      <c r="CT46" s="12"/>
      <c r="CU46" s="23"/>
    </row>
    <row r="47" spans="1:99" ht="13.5" hidden="1" thickBot="1" x14ac:dyDescent="0.25">
      <c r="A47" s="20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7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Z47" s="55"/>
      <c r="BA47" s="55"/>
      <c r="BB47" s="36"/>
      <c r="BC47" s="37"/>
      <c r="BD47" s="60"/>
      <c r="BE47" s="34"/>
      <c r="BF47" s="16"/>
      <c r="BG47" s="23"/>
      <c r="BH47" s="34"/>
      <c r="BI47" s="16"/>
      <c r="BJ47" s="23"/>
      <c r="BK47" s="34"/>
      <c r="BL47" s="16"/>
      <c r="BM47" s="23"/>
      <c r="BN47" s="34"/>
      <c r="BO47" s="16"/>
      <c r="BP47" s="75"/>
      <c r="BQ47" s="34"/>
      <c r="BR47" s="16"/>
      <c r="BS47" s="75"/>
      <c r="CO47" s="34"/>
      <c r="CP47" s="16"/>
      <c r="CQ47" s="16"/>
      <c r="CR47" s="16"/>
      <c r="CS47" s="16"/>
      <c r="CT47" s="12"/>
      <c r="CU47" s="23"/>
    </row>
    <row r="48" spans="1:99" ht="13.5" hidden="1" thickBot="1" x14ac:dyDescent="0.25">
      <c r="A48" s="20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7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Z48" s="55"/>
      <c r="BA48" s="55"/>
      <c r="BB48" s="36"/>
      <c r="BC48" s="37"/>
      <c r="BD48" s="60"/>
      <c r="BE48" s="34"/>
      <c r="BF48" s="16"/>
      <c r="BG48" s="23"/>
      <c r="BH48" s="34"/>
      <c r="BI48" s="16"/>
      <c r="BJ48" s="23"/>
      <c r="BK48" s="34"/>
      <c r="BL48" s="16"/>
      <c r="BM48" s="23"/>
      <c r="BN48" s="34"/>
      <c r="BO48" s="16"/>
      <c r="BP48" s="75"/>
      <c r="BQ48" s="34"/>
      <c r="BR48" s="16"/>
      <c r="BS48" s="75"/>
      <c r="CO48" s="34"/>
      <c r="CP48" s="16"/>
      <c r="CQ48" s="16"/>
      <c r="CR48" s="16"/>
      <c r="CS48" s="16"/>
      <c r="CT48" s="12"/>
      <c r="CU48" s="23"/>
    </row>
    <row r="49" spans="1:99" ht="13.5" hidden="1" thickBot="1" x14ac:dyDescent="0.25">
      <c r="A49" s="20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Z49" s="55"/>
      <c r="BA49" s="55"/>
      <c r="BB49" s="36"/>
      <c r="BC49" s="37"/>
      <c r="BD49" s="60"/>
      <c r="BE49" s="34"/>
      <c r="BF49" s="16"/>
      <c r="BG49" s="23"/>
      <c r="BH49" s="34"/>
      <c r="BI49" s="16"/>
      <c r="BJ49" s="23"/>
      <c r="BK49" s="34"/>
      <c r="BL49" s="16"/>
      <c r="BM49" s="23"/>
      <c r="BN49" s="34"/>
      <c r="BO49" s="16"/>
      <c r="BP49" s="75"/>
      <c r="BQ49" s="34"/>
      <c r="BR49" s="16"/>
      <c r="BS49" s="75"/>
      <c r="CO49" s="34"/>
      <c r="CP49" s="16"/>
      <c r="CQ49" s="16"/>
      <c r="CR49" s="16"/>
      <c r="CS49" s="16"/>
      <c r="CT49" s="12"/>
      <c r="CU49" s="23"/>
    </row>
    <row r="50" spans="1:99" ht="13.5" hidden="1" thickBot="1" x14ac:dyDescent="0.25">
      <c r="A50" s="20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7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Z50" s="55"/>
      <c r="BA50" s="55"/>
      <c r="BB50" s="36"/>
      <c r="BC50" s="37"/>
      <c r="BD50" s="60"/>
      <c r="BE50" s="34"/>
      <c r="BF50" s="16"/>
      <c r="BG50" s="23"/>
      <c r="BH50" s="34"/>
      <c r="BI50" s="16"/>
      <c r="BJ50" s="23"/>
      <c r="BK50" s="34"/>
      <c r="BL50" s="16"/>
      <c r="BM50" s="23"/>
      <c r="BN50" s="34"/>
      <c r="BO50" s="16"/>
      <c r="BP50" s="75"/>
      <c r="BQ50" s="34"/>
      <c r="BR50" s="16"/>
      <c r="BS50" s="75"/>
      <c r="CO50" s="34"/>
      <c r="CP50" s="16"/>
      <c r="CQ50" s="16"/>
      <c r="CR50" s="16"/>
      <c r="CS50" s="16"/>
      <c r="CT50" s="12"/>
      <c r="CU50" s="23"/>
    </row>
    <row r="51" spans="1:99" ht="13.5" hidden="1" thickBot="1" x14ac:dyDescent="0.25">
      <c r="A51" s="20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7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Z51" s="55"/>
      <c r="BA51" s="55"/>
      <c r="BB51" s="36"/>
      <c r="BC51" s="37"/>
      <c r="BD51" s="60"/>
      <c r="BE51" s="34"/>
      <c r="BF51" s="16"/>
      <c r="BG51" s="23"/>
      <c r="BH51" s="34"/>
      <c r="BI51" s="16"/>
      <c r="BJ51" s="23"/>
      <c r="BK51" s="34"/>
      <c r="BL51" s="16"/>
      <c r="BM51" s="23"/>
      <c r="BN51" s="34"/>
      <c r="BO51" s="16"/>
      <c r="BP51" s="75"/>
      <c r="BQ51" s="34"/>
      <c r="BR51" s="16"/>
      <c r="BS51" s="75"/>
      <c r="CO51" s="34"/>
      <c r="CP51" s="16"/>
      <c r="CQ51" s="16"/>
      <c r="CR51" s="16"/>
      <c r="CS51" s="16"/>
      <c r="CT51" s="12"/>
      <c r="CU51" s="23"/>
    </row>
    <row r="52" spans="1:99" ht="13.5" hidden="1" thickBot="1" x14ac:dyDescent="0.25">
      <c r="A52" s="20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7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Z52" s="55"/>
      <c r="BA52" s="55"/>
      <c r="BB52" s="36"/>
      <c r="BC52" s="37"/>
      <c r="BD52" s="60"/>
      <c r="BE52" s="34"/>
      <c r="BF52" s="16"/>
      <c r="BG52" s="23"/>
      <c r="BH52" s="34"/>
      <c r="BI52" s="16"/>
      <c r="BJ52" s="23"/>
      <c r="BK52" s="34"/>
      <c r="BL52" s="16"/>
      <c r="BM52" s="23"/>
      <c r="BN52" s="34"/>
      <c r="BO52" s="16"/>
      <c r="BP52" s="75"/>
      <c r="BQ52" s="34"/>
      <c r="BR52" s="16"/>
      <c r="BS52" s="75"/>
      <c r="CO52" s="34"/>
      <c r="CP52" s="16"/>
      <c r="CQ52" s="16"/>
      <c r="CR52" s="16"/>
      <c r="CS52" s="16"/>
      <c r="CT52" s="12"/>
      <c r="CU52" s="23"/>
    </row>
    <row r="53" spans="1:99" ht="13.5" hidden="1" thickBot="1" x14ac:dyDescent="0.25">
      <c r="A53" s="20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7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Z53" s="55"/>
      <c r="BA53" s="55"/>
      <c r="BB53" s="36"/>
      <c r="BC53" s="37"/>
      <c r="BD53" s="60"/>
      <c r="BE53" s="34"/>
      <c r="BF53" s="16"/>
      <c r="BG53" s="23"/>
      <c r="BH53" s="34"/>
      <c r="BI53" s="16"/>
      <c r="BJ53" s="23"/>
      <c r="BK53" s="34"/>
      <c r="BL53" s="16"/>
      <c r="BM53" s="23"/>
      <c r="BN53" s="34"/>
      <c r="BO53" s="16"/>
      <c r="BP53" s="75"/>
      <c r="BQ53" s="34"/>
      <c r="BR53" s="16"/>
      <c r="BS53" s="75"/>
      <c r="CO53" s="34"/>
      <c r="CP53" s="16"/>
      <c r="CQ53" s="16"/>
      <c r="CR53" s="16"/>
      <c r="CS53" s="16"/>
      <c r="CT53" s="12"/>
      <c r="CU53" s="23"/>
    </row>
    <row r="54" spans="1:99" x14ac:dyDescent="0.2">
      <c r="A54" s="20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7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Z54" s="55"/>
      <c r="BA54" s="55"/>
      <c r="BB54" s="36"/>
      <c r="BC54" s="37"/>
      <c r="BD54" s="60"/>
      <c r="BE54" s="34"/>
      <c r="BF54" s="16"/>
      <c r="BG54" s="23"/>
      <c r="BH54" s="34"/>
      <c r="BI54" s="16"/>
      <c r="BJ54" s="23"/>
      <c r="BK54" s="34"/>
      <c r="BL54" s="16"/>
      <c r="BM54" s="23"/>
      <c r="BN54" s="34"/>
      <c r="BO54" s="16"/>
      <c r="BP54" s="75"/>
      <c r="BQ54" s="34"/>
      <c r="BR54" s="16"/>
      <c r="BS54" s="75"/>
      <c r="CO54" s="34"/>
      <c r="CP54" s="16"/>
      <c r="CQ54" s="16"/>
      <c r="CR54" s="16"/>
      <c r="CS54" s="16"/>
      <c r="CT54" s="12"/>
      <c r="CU54" s="23"/>
    </row>
    <row r="55" spans="1:99" ht="13.5" hidden="1" thickBot="1" x14ac:dyDescent="0.25">
      <c r="A55" s="20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7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Z55" s="55"/>
      <c r="BA55" s="55"/>
      <c r="BB55" s="36"/>
      <c r="BC55" s="37"/>
      <c r="BD55" s="60"/>
      <c r="BE55" s="34"/>
      <c r="BF55" s="16"/>
      <c r="BG55" s="23"/>
      <c r="BH55" s="34"/>
      <c r="BI55" s="16"/>
      <c r="BJ55" s="23"/>
      <c r="BK55" s="34"/>
      <c r="BL55" s="16"/>
      <c r="BM55" s="23"/>
      <c r="BN55" s="34"/>
      <c r="BO55" s="16"/>
      <c r="BP55" s="75"/>
      <c r="BQ55" s="34"/>
      <c r="BR55" s="16"/>
      <c r="BS55" s="75"/>
      <c r="CO55" s="34"/>
      <c r="CP55" s="16"/>
      <c r="CQ55" s="16"/>
      <c r="CR55" s="16"/>
      <c r="CS55" s="16"/>
      <c r="CT55" s="12"/>
      <c r="CU55" s="23"/>
    </row>
    <row r="56" spans="1:99" ht="13.5" hidden="1" thickBot="1" x14ac:dyDescent="0.25">
      <c r="A56" s="20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7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Z56" s="55"/>
      <c r="BA56" s="55"/>
      <c r="BB56" s="36"/>
      <c r="BC56" s="37"/>
      <c r="BD56" s="60"/>
      <c r="BE56" s="34"/>
      <c r="BF56" s="16"/>
      <c r="BG56" s="23"/>
      <c r="BH56" s="34"/>
      <c r="BI56" s="16"/>
      <c r="BJ56" s="23"/>
      <c r="BK56" s="34"/>
      <c r="BL56" s="16"/>
      <c r="BM56" s="23"/>
      <c r="BN56" s="34"/>
      <c r="BO56" s="16"/>
      <c r="BP56" s="75"/>
      <c r="BQ56" s="34"/>
      <c r="BR56" s="16"/>
      <c r="BS56" s="75"/>
      <c r="CO56" s="34"/>
      <c r="CP56" s="16"/>
      <c r="CQ56" s="16"/>
      <c r="CR56" s="16"/>
      <c r="CS56" s="16"/>
      <c r="CT56" s="12"/>
      <c r="CU56" s="23"/>
    </row>
    <row r="57" spans="1:99" ht="13.5" hidden="1" thickBot="1" x14ac:dyDescent="0.25">
      <c r="A57" s="20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7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Z57" s="55"/>
      <c r="BA57" s="55"/>
      <c r="BB57" s="36"/>
      <c r="BC57" s="37"/>
      <c r="BD57" s="60"/>
      <c r="BE57" s="34"/>
      <c r="BF57" s="16"/>
      <c r="BG57" s="23"/>
      <c r="BH57" s="34"/>
      <c r="BI57" s="16"/>
      <c r="BJ57" s="23"/>
      <c r="BK57" s="34"/>
      <c r="BL57" s="16"/>
      <c r="BM57" s="23"/>
      <c r="BN57" s="34"/>
      <c r="BO57" s="16"/>
      <c r="BP57" s="75"/>
      <c r="BQ57" s="34"/>
      <c r="BR57" s="16"/>
      <c r="BS57" s="75"/>
      <c r="CO57" s="34"/>
      <c r="CP57" s="16"/>
      <c r="CQ57" s="16"/>
      <c r="CR57" s="16"/>
      <c r="CS57" s="16"/>
      <c r="CT57" s="12"/>
      <c r="CU57" s="23"/>
    </row>
    <row r="58" spans="1:99" ht="13.5" hidden="1" thickBot="1" x14ac:dyDescent="0.25">
      <c r="A58" s="20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7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Z58" s="55"/>
      <c r="BA58" s="55"/>
      <c r="BB58" s="36"/>
      <c r="BC58" s="37"/>
      <c r="BD58" s="60"/>
      <c r="BE58" s="34"/>
      <c r="BF58" s="16"/>
      <c r="BG58" s="23"/>
      <c r="BH58" s="34"/>
      <c r="BI58" s="16"/>
      <c r="BJ58" s="23"/>
      <c r="BK58" s="34"/>
      <c r="BL58" s="16"/>
      <c r="BM58" s="23"/>
      <c r="BN58" s="34"/>
      <c r="BO58" s="16"/>
      <c r="BP58" s="75"/>
      <c r="BQ58" s="34"/>
      <c r="BR58" s="16"/>
      <c r="BS58" s="75"/>
      <c r="CO58" s="34"/>
      <c r="CP58" s="16"/>
      <c r="CQ58" s="16"/>
      <c r="CR58" s="16"/>
      <c r="CS58" s="16"/>
      <c r="CT58" s="12"/>
      <c r="CU58" s="23"/>
    </row>
    <row r="59" spans="1:99" ht="13.5" hidden="1" thickBot="1" x14ac:dyDescent="0.25">
      <c r="A59" s="20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7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Z59" s="55"/>
      <c r="BA59" s="55"/>
      <c r="BB59" s="36"/>
      <c r="BC59" s="37"/>
      <c r="BD59" s="60"/>
      <c r="BE59" s="34"/>
      <c r="BF59" s="16"/>
      <c r="BG59" s="23"/>
      <c r="BH59" s="34"/>
      <c r="BI59" s="16"/>
      <c r="BJ59" s="23"/>
      <c r="BK59" s="34"/>
      <c r="BL59" s="16"/>
      <c r="BM59" s="23"/>
      <c r="BN59" s="34"/>
      <c r="BO59" s="16"/>
      <c r="BP59" s="75"/>
      <c r="BQ59" s="34"/>
      <c r="BR59" s="16"/>
      <c r="BS59" s="75"/>
      <c r="CO59" s="34"/>
      <c r="CP59" s="16"/>
      <c r="CQ59" s="16"/>
      <c r="CR59" s="16"/>
      <c r="CS59" s="16"/>
      <c r="CT59" s="12"/>
      <c r="CU59" s="23"/>
    </row>
    <row r="60" spans="1:99" ht="13.5" hidden="1" thickBot="1" x14ac:dyDescent="0.25">
      <c r="A60" s="20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7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Z60" s="55"/>
      <c r="BA60" s="55"/>
      <c r="BB60" s="36"/>
      <c r="BC60" s="37"/>
      <c r="BD60" s="60"/>
      <c r="BE60" s="34"/>
      <c r="BF60" s="16"/>
      <c r="BG60" s="23"/>
      <c r="BH60" s="34"/>
      <c r="BI60" s="16"/>
      <c r="BJ60" s="23"/>
      <c r="BK60" s="34"/>
      <c r="BL60" s="16"/>
      <c r="BM60" s="23"/>
      <c r="BN60" s="34"/>
      <c r="BO60" s="16"/>
      <c r="BP60" s="75"/>
      <c r="BQ60" s="34"/>
      <c r="BR60" s="16"/>
      <c r="BS60" s="75"/>
      <c r="CO60" s="34"/>
      <c r="CP60" s="16"/>
      <c r="CQ60" s="16"/>
      <c r="CR60" s="16"/>
      <c r="CS60" s="16"/>
      <c r="CT60" s="12"/>
      <c r="CU60" s="23"/>
    </row>
    <row r="61" spans="1:99" ht="13.5" hidden="1" thickBot="1" x14ac:dyDescent="0.25">
      <c r="A61" s="20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7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Z61" s="55"/>
      <c r="BA61" s="55"/>
      <c r="BB61" s="36"/>
      <c r="BC61" s="37"/>
      <c r="BD61" s="60"/>
      <c r="BE61" s="34"/>
      <c r="BF61" s="16"/>
      <c r="BG61" s="23"/>
      <c r="BH61" s="34"/>
      <c r="BI61" s="16"/>
      <c r="BJ61" s="23"/>
      <c r="BK61" s="34"/>
      <c r="BL61" s="16"/>
      <c r="BM61" s="23"/>
      <c r="BN61" s="34"/>
      <c r="BO61" s="16"/>
      <c r="BP61" s="75"/>
      <c r="BQ61" s="34"/>
      <c r="BR61" s="16"/>
      <c r="BS61" s="75"/>
      <c r="CO61" s="34"/>
      <c r="CP61" s="16"/>
      <c r="CQ61" s="16"/>
      <c r="CR61" s="16"/>
      <c r="CS61" s="16"/>
      <c r="CT61" s="12"/>
      <c r="CU61" s="23"/>
    </row>
    <row r="62" spans="1:99" ht="13.5" hidden="1" thickBot="1" x14ac:dyDescent="0.25">
      <c r="A62" s="20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7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Z62" s="55"/>
      <c r="BA62" s="55"/>
      <c r="BB62" s="36"/>
      <c r="BC62" s="37"/>
      <c r="BD62" s="60"/>
      <c r="BE62" s="34"/>
      <c r="BF62" s="16"/>
      <c r="BG62" s="23"/>
      <c r="BH62" s="34"/>
      <c r="BI62" s="16"/>
      <c r="BJ62" s="23"/>
      <c r="BK62" s="34"/>
      <c r="BL62" s="16"/>
      <c r="BM62" s="23"/>
      <c r="BN62" s="34"/>
      <c r="BO62" s="16"/>
      <c r="BP62" s="75"/>
      <c r="BQ62" s="34"/>
      <c r="BR62" s="16"/>
      <c r="BS62" s="75"/>
      <c r="CO62" s="34"/>
      <c r="CP62" s="16"/>
      <c r="CQ62" s="16"/>
      <c r="CR62" s="16"/>
      <c r="CS62" s="16"/>
      <c r="CT62" s="12"/>
      <c r="CU62" s="23"/>
    </row>
    <row r="63" spans="1:99" ht="13.5" hidden="1" thickBot="1" x14ac:dyDescent="0.25">
      <c r="A63" s="20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7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Z63" s="55"/>
      <c r="BA63" s="55"/>
      <c r="BB63" s="36"/>
      <c r="BC63" s="37"/>
      <c r="BD63" s="60"/>
      <c r="BE63" s="34"/>
      <c r="BF63" s="16"/>
      <c r="BG63" s="23"/>
      <c r="BH63" s="34"/>
      <c r="BI63" s="16"/>
      <c r="BJ63" s="23"/>
      <c r="BK63" s="34"/>
      <c r="BL63" s="16"/>
      <c r="BM63" s="23"/>
      <c r="BN63" s="34"/>
      <c r="BO63" s="16"/>
      <c r="BP63" s="75"/>
      <c r="BQ63" s="34"/>
      <c r="BR63" s="16"/>
      <c r="BS63" s="75"/>
      <c r="CO63" s="34"/>
      <c r="CP63" s="16"/>
      <c r="CQ63" s="16"/>
      <c r="CR63" s="16"/>
      <c r="CS63" s="16"/>
      <c r="CT63" s="12"/>
      <c r="CU63" s="23"/>
    </row>
    <row r="64" spans="1:99" ht="13.5" hidden="1" thickBot="1" x14ac:dyDescent="0.25">
      <c r="A64" s="20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7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Z64" s="55"/>
      <c r="BA64" s="55"/>
      <c r="BB64" s="36"/>
      <c r="BC64" s="37"/>
      <c r="BD64" s="60"/>
      <c r="BE64" s="34"/>
      <c r="BF64" s="16"/>
      <c r="BG64" s="23"/>
      <c r="BH64" s="34"/>
      <c r="BI64" s="16"/>
      <c r="BJ64" s="23"/>
      <c r="BK64" s="34"/>
      <c r="BL64" s="16"/>
      <c r="BM64" s="23"/>
      <c r="BN64" s="34"/>
      <c r="BO64" s="16"/>
      <c r="BP64" s="75"/>
      <c r="BQ64" s="34"/>
      <c r="BR64" s="16"/>
      <c r="BS64" s="75"/>
      <c r="CO64" s="34"/>
      <c r="CP64" s="16"/>
      <c r="CQ64" s="16"/>
      <c r="CR64" s="16"/>
      <c r="CS64" s="16"/>
      <c r="CT64" s="12"/>
      <c r="CU64" s="23"/>
    </row>
    <row r="65" spans="1:99" ht="13.5" hidden="1" thickBot="1" x14ac:dyDescent="0.25">
      <c r="A65" s="20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7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Z65" s="55"/>
      <c r="BA65" s="55"/>
      <c r="BB65" s="36"/>
      <c r="BC65" s="37"/>
      <c r="BD65" s="60"/>
      <c r="BE65" s="34"/>
      <c r="BF65" s="16"/>
      <c r="BG65" s="23"/>
      <c r="BH65" s="34"/>
      <c r="BI65" s="16"/>
      <c r="BJ65" s="23"/>
      <c r="BK65" s="34"/>
      <c r="BL65" s="16"/>
      <c r="BM65" s="23"/>
      <c r="BN65" s="34"/>
      <c r="BO65" s="16"/>
      <c r="BP65" s="75"/>
      <c r="BQ65" s="34"/>
      <c r="BR65" s="16"/>
      <c r="BS65" s="75"/>
      <c r="CO65" s="34"/>
      <c r="CP65" s="16"/>
      <c r="CQ65" s="16"/>
      <c r="CR65" s="16"/>
      <c r="CS65" s="16"/>
      <c r="CT65" s="12"/>
      <c r="CU65" s="23"/>
    </row>
    <row r="66" spans="1:99" ht="13.5" hidden="1" thickBot="1" x14ac:dyDescent="0.25">
      <c r="A66" s="20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7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Z66" s="55"/>
      <c r="BA66" s="55"/>
      <c r="BB66" s="36"/>
      <c r="BC66" s="37"/>
      <c r="BD66" s="60"/>
      <c r="BE66" s="34"/>
      <c r="BF66" s="16"/>
      <c r="BG66" s="23"/>
      <c r="BH66" s="34"/>
      <c r="BI66" s="16"/>
      <c r="BJ66" s="23"/>
      <c r="BK66" s="34"/>
      <c r="BL66" s="16"/>
      <c r="BM66" s="23"/>
      <c r="BN66" s="34"/>
      <c r="BO66" s="16"/>
      <c r="BP66" s="75"/>
      <c r="BQ66" s="34"/>
      <c r="BR66" s="16"/>
      <c r="BS66" s="75"/>
      <c r="CO66" s="34"/>
      <c r="CP66" s="16"/>
      <c r="CQ66" s="16"/>
      <c r="CR66" s="16"/>
      <c r="CS66" s="16"/>
      <c r="CT66" s="12"/>
      <c r="CU66" s="23"/>
    </row>
    <row r="67" spans="1:99" ht="13.5" hidden="1" thickBot="1" x14ac:dyDescent="0.25">
      <c r="A67" s="20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7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Z67" s="55"/>
      <c r="BA67" s="55"/>
      <c r="BB67" s="36"/>
      <c r="BC67" s="37"/>
      <c r="BD67" s="60"/>
      <c r="BE67" s="34"/>
      <c r="BF67" s="16"/>
      <c r="BG67" s="23"/>
      <c r="BH67" s="34"/>
      <c r="BI67" s="16"/>
      <c r="BJ67" s="23"/>
      <c r="BK67" s="34"/>
      <c r="BL67" s="16"/>
      <c r="BM67" s="23"/>
      <c r="BN67" s="34"/>
      <c r="BO67" s="16"/>
      <c r="BP67" s="75"/>
      <c r="BQ67" s="34"/>
      <c r="BR67" s="16"/>
      <c r="BS67" s="75"/>
      <c r="CO67" s="34"/>
      <c r="CP67" s="16"/>
      <c r="CQ67" s="16"/>
      <c r="CR67" s="16"/>
      <c r="CS67" s="16"/>
      <c r="CT67" s="12"/>
      <c r="CU67" s="23"/>
    </row>
    <row r="68" spans="1:99" ht="13.5" hidden="1" thickBot="1" x14ac:dyDescent="0.25">
      <c r="A68" s="20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7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Z68" s="55"/>
      <c r="BA68" s="55"/>
      <c r="BB68" s="36"/>
      <c r="BC68" s="37"/>
      <c r="BD68" s="60"/>
      <c r="BE68" s="34"/>
      <c r="BF68" s="16"/>
      <c r="BG68" s="23"/>
      <c r="BH68" s="34"/>
      <c r="BI68" s="16"/>
      <c r="BJ68" s="23"/>
      <c r="BK68" s="34"/>
      <c r="BL68" s="16"/>
      <c r="BM68" s="23"/>
      <c r="BN68" s="34"/>
      <c r="BO68" s="16"/>
      <c r="BP68" s="75"/>
      <c r="BQ68" s="34"/>
      <c r="BR68" s="16"/>
      <c r="BS68" s="75"/>
      <c r="CO68" s="34"/>
      <c r="CP68" s="16"/>
      <c r="CQ68" s="16"/>
      <c r="CR68" s="16"/>
      <c r="CS68" s="16"/>
      <c r="CT68" s="12"/>
      <c r="CU68" s="23"/>
    </row>
    <row r="69" spans="1:99" ht="13.5" hidden="1" thickBot="1" x14ac:dyDescent="0.25">
      <c r="A69" s="20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7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Z69" s="55"/>
      <c r="BA69" s="55"/>
      <c r="BB69" s="36"/>
      <c r="BC69" s="37"/>
      <c r="BD69" s="60"/>
      <c r="BE69" s="34"/>
      <c r="BF69" s="16"/>
      <c r="BG69" s="23"/>
      <c r="BH69" s="34"/>
      <c r="BI69" s="16"/>
      <c r="BJ69" s="23"/>
      <c r="BK69" s="34"/>
      <c r="BL69" s="16"/>
      <c r="BM69" s="23"/>
      <c r="BN69" s="34"/>
      <c r="BO69" s="16"/>
      <c r="BP69" s="75"/>
      <c r="BQ69" s="34"/>
      <c r="BR69" s="16"/>
      <c r="BS69" s="75"/>
      <c r="CO69" s="34"/>
      <c r="CP69" s="16"/>
      <c r="CQ69" s="16"/>
      <c r="CR69" s="16"/>
      <c r="CS69" s="16"/>
      <c r="CT69" s="12"/>
      <c r="CU69" s="23"/>
    </row>
    <row r="70" spans="1:99" ht="13.5" hidden="1" thickBot="1" x14ac:dyDescent="0.25">
      <c r="A70" s="20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7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Z70" s="55"/>
      <c r="BA70" s="55"/>
      <c r="BB70" s="36"/>
      <c r="BC70" s="37"/>
      <c r="BD70" s="60"/>
      <c r="BE70" s="34"/>
      <c r="BF70" s="16"/>
      <c r="BG70" s="23"/>
      <c r="BH70" s="34"/>
      <c r="BI70" s="16"/>
      <c r="BJ70" s="23"/>
      <c r="BK70" s="34"/>
      <c r="BL70" s="16"/>
      <c r="BM70" s="23"/>
      <c r="BN70" s="34"/>
      <c r="BO70" s="16"/>
      <c r="BP70" s="75"/>
      <c r="BQ70" s="34"/>
      <c r="BR70" s="16"/>
      <c r="BS70" s="75"/>
      <c r="CO70" s="34"/>
      <c r="CP70" s="16"/>
      <c r="CQ70" s="16"/>
      <c r="CR70" s="16"/>
      <c r="CS70" s="16"/>
      <c r="CT70" s="12"/>
      <c r="CU70" s="23"/>
    </row>
    <row r="71" spans="1:99" ht="13.5" hidden="1" thickBot="1" x14ac:dyDescent="0.25">
      <c r="A71" s="20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7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Z71" s="55"/>
      <c r="BA71" s="55"/>
      <c r="BB71" s="36"/>
      <c r="BC71" s="37"/>
      <c r="BD71" s="60"/>
      <c r="BE71" s="34"/>
      <c r="BF71" s="16"/>
      <c r="BG71" s="23"/>
      <c r="BH71" s="34"/>
      <c r="BI71" s="16"/>
      <c r="BJ71" s="23"/>
      <c r="BK71" s="34"/>
      <c r="BL71" s="16"/>
      <c r="BM71" s="23"/>
      <c r="BN71" s="34"/>
      <c r="BO71" s="16"/>
      <c r="BP71" s="75"/>
      <c r="BQ71" s="34"/>
      <c r="BR71" s="16"/>
      <c r="BS71" s="75"/>
      <c r="CO71" s="34"/>
      <c r="CP71" s="16"/>
      <c r="CQ71" s="16"/>
      <c r="CR71" s="16"/>
      <c r="CS71" s="16"/>
      <c r="CT71" s="12"/>
      <c r="CU71" s="23"/>
    </row>
    <row r="72" spans="1:99" ht="13.5" hidden="1" thickBot="1" x14ac:dyDescent="0.25">
      <c r="A72" s="20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7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Z72" s="55"/>
      <c r="BA72" s="55"/>
      <c r="BB72" s="36"/>
      <c r="BC72" s="37"/>
      <c r="BD72" s="60"/>
      <c r="BE72" s="34"/>
      <c r="BF72" s="16"/>
      <c r="BG72" s="23"/>
      <c r="BH72" s="34"/>
      <c r="BI72" s="16"/>
      <c r="BJ72" s="23"/>
      <c r="BK72" s="34"/>
      <c r="BL72" s="16"/>
      <c r="BM72" s="23"/>
      <c r="BN72" s="34"/>
      <c r="BO72" s="16"/>
      <c r="BP72" s="75"/>
      <c r="BQ72" s="34"/>
      <c r="BR72" s="16"/>
      <c r="BS72" s="75"/>
      <c r="CO72" s="34"/>
      <c r="CP72" s="16"/>
      <c r="CQ72" s="16"/>
      <c r="CR72" s="16"/>
      <c r="CS72" s="16"/>
      <c r="CT72" s="12"/>
      <c r="CU72" s="23"/>
    </row>
    <row r="73" spans="1:99" ht="13.5" hidden="1" thickBot="1" x14ac:dyDescent="0.25">
      <c r="A73" s="20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7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Z73" s="55"/>
      <c r="BA73" s="55"/>
      <c r="BB73" s="36"/>
      <c r="BC73" s="37"/>
      <c r="BD73" s="60"/>
      <c r="BE73" s="34"/>
      <c r="BF73" s="16"/>
      <c r="BG73" s="23"/>
      <c r="BH73" s="34"/>
      <c r="BI73" s="16"/>
      <c r="BJ73" s="23"/>
      <c r="BK73" s="34"/>
      <c r="BL73" s="16"/>
      <c r="BM73" s="23"/>
      <c r="BN73" s="34"/>
      <c r="BO73" s="16"/>
      <c r="BP73" s="75"/>
      <c r="BQ73" s="34"/>
      <c r="BR73" s="16"/>
      <c r="BS73" s="75"/>
      <c r="CO73" s="34"/>
      <c r="CP73" s="16"/>
      <c r="CQ73" s="16"/>
      <c r="CR73" s="16"/>
      <c r="CS73" s="16"/>
      <c r="CT73" s="12"/>
      <c r="CU73" s="23"/>
    </row>
    <row r="74" spans="1:99" ht="13.5" hidden="1" thickBot="1" x14ac:dyDescent="0.25">
      <c r="A74" s="20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7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Z74" s="55"/>
      <c r="BA74" s="55"/>
      <c r="BB74" s="36"/>
      <c r="BC74" s="37"/>
      <c r="BD74" s="60"/>
      <c r="BE74" s="34"/>
      <c r="BF74" s="16"/>
      <c r="BG74" s="23"/>
      <c r="BH74" s="34"/>
      <c r="BI74" s="16"/>
      <c r="BJ74" s="23"/>
      <c r="BK74" s="34"/>
      <c r="BL74" s="16"/>
      <c r="BM74" s="23"/>
      <c r="BN74" s="34"/>
      <c r="BO74" s="16"/>
      <c r="BP74" s="75"/>
      <c r="BQ74" s="34"/>
      <c r="BR74" s="16"/>
      <c r="BS74" s="75"/>
      <c r="CO74" s="34"/>
      <c r="CP74" s="16"/>
      <c r="CQ74" s="16"/>
      <c r="CR74" s="16"/>
      <c r="CS74" s="16"/>
      <c r="CT74" s="12"/>
      <c r="CU74" s="23"/>
    </row>
    <row r="75" spans="1:99" ht="13.5" hidden="1" thickBot="1" x14ac:dyDescent="0.25">
      <c r="A75" s="20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7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Z75" s="55"/>
      <c r="BA75" s="55"/>
      <c r="BB75" s="36"/>
      <c r="BC75" s="37"/>
      <c r="BD75" s="60"/>
      <c r="BE75" s="34"/>
      <c r="BF75" s="16"/>
      <c r="BG75" s="23"/>
      <c r="BH75" s="34"/>
      <c r="BI75" s="16"/>
      <c r="BJ75" s="23"/>
      <c r="BK75" s="34"/>
      <c r="BL75" s="16"/>
      <c r="BM75" s="23"/>
      <c r="BN75" s="34"/>
      <c r="BO75" s="16"/>
      <c r="BP75" s="75"/>
      <c r="BQ75" s="34"/>
      <c r="BR75" s="16"/>
      <c r="BS75" s="75"/>
      <c r="CO75" s="34"/>
      <c r="CP75" s="16"/>
      <c r="CQ75" s="16"/>
      <c r="CR75" s="16"/>
      <c r="CS75" s="16"/>
      <c r="CT75" s="12"/>
      <c r="CU75" s="23"/>
    </row>
    <row r="76" spans="1:99" ht="13.5" hidden="1" thickBot="1" x14ac:dyDescent="0.25">
      <c r="A76" s="20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7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Z76" s="55"/>
      <c r="BA76" s="55"/>
      <c r="BB76" s="36"/>
      <c r="BC76" s="37"/>
      <c r="BD76" s="60"/>
      <c r="BE76" s="34"/>
      <c r="BF76" s="16"/>
      <c r="BG76" s="23"/>
      <c r="BH76" s="34"/>
      <c r="BI76" s="16"/>
      <c r="BJ76" s="23"/>
      <c r="BK76" s="34"/>
      <c r="BL76" s="16"/>
      <c r="BM76" s="23"/>
      <c r="BN76" s="34"/>
      <c r="BO76" s="16"/>
      <c r="BP76" s="75"/>
      <c r="BQ76" s="34"/>
      <c r="BR76" s="16"/>
      <c r="BS76" s="75"/>
      <c r="CO76" s="34"/>
      <c r="CP76" s="16"/>
      <c r="CQ76" s="16"/>
      <c r="CR76" s="16"/>
      <c r="CS76" s="16"/>
      <c r="CT76" s="12"/>
      <c r="CU76" s="23"/>
    </row>
    <row r="77" spans="1:99" ht="13.5" hidden="1" thickBot="1" x14ac:dyDescent="0.25">
      <c r="A77" s="20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7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Z77" s="55"/>
      <c r="BA77" s="55"/>
      <c r="BB77" s="36"/>
      <c r="BC77" s="37"/>
      <c r="BD77" s="60"/>
      <c r="BE77" s="34"/>
      <c r="BF77" s="16"/>
      <c r="BG77" s="23"/>
      <c r="BH77" s="34"/>
      <c r="BI77" s="16"/>
      <c r="BJ77" s="23"/>
      <c r="BK77" s="34"/>
      <c r="BL77" s="16"/>
      <c r="BM77" s="23"/>
      <c r="BN77" s="34"/>
      <c r="BO77" s="16"/>
      <c r="BP77" s="75"/>
      <c r="BQ77" s="34"/>
      <c r="BR77" s="16"/>
      <c r="BS77" s="75"/>
      <c r="CO77" s="34"/>
      <c r="CP77" s="16"/>
      <c r="CQ77" s="16"/>
      <c r="CR77" s="16"/>
      <c r="CS77" s="16"/>
      <c r="CT77" s="12"/>
      <c r="CU77" s="23"/>
    </row>
    <row r="78" spans="1:99" ht="13.5" hidden="1" thickBot="1" x14ac:dyDescent="0.25">
      <c r="A78" s="20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7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Z78" s="55"/>
      <c r="BA78" s="55"/>
      <c r="BB78" s="36"/>
      <c r="BC78" s="37"/>
      <c r="BD78" s="60"/>
      <c r="BE78" s="34"/>
      <c r="BF78" s="16"/>
      <c r="BG78" s="23"/>
      <c r="BH78" s="34"/>
      <c r="BI78" s="16"/>
      <c r="BJ78" s="23"/>
      <c r="BK78" s="34"/>
      <c r="BL78" s="16"/>
      <c r="BM78" s="23"/>
      <c r="BN78" s="34"/>
      <c r="BO78" s="16"/>
      <c r="BP78" s="75"/>
      <c r="BQ78" s="34"/>
      <c r="BR78" s="16"/>
      <c r="BS78" s="75"/>
      <c r="CO78" s="34"/>
      <c r="CP78" s="16"/>
      <c r="CQ78" s="16"/>
      <c r="CR78" s="16"/>
      <c r="CS78" s="16"/>
      <c r="CT78" s="12"/>
      <c r="CU78" s="23"/>
    </row>
    <row r="79" spans="1:99" ht="13.5" hidden="1" thickBot="1" x14ac:dyDescent="0.25">
      <c r="A79" s="20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7"/>
      <c r="M79" s="100">
        <f>B96</f>
        <v>23.891077441077442</v>
      </c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Z79" s="55"/>
      <c r="BA79" s="55">
        <f>$AY$13-10000</f>
        <v>800</v>
      </c>
      <c r="BB79" s="78">
        <f>IF(BA79&lt;=10000,BA79*0.24,0)</f>
        <v>192</v>
      </c>
      <c r="BC79" s="56">
        <f>IF(AY13&gt;10000,(AY13-10000)*0.24,0)</f>
        <v>192</v>
      </c>
      <c r="BD79" s="60">
        <f>IF(BC79&gt;0,BB79,0)</f>
        <v>192</v>
      </c>
      <c r="BE79" s="79"/>
      <c r="BF79" s="69"/>
      <c r="BG79" s="70"/>
      <c r="BH79" s="79"/>
      <c r="BI79" s="69"/>
      <c r="BJ79" s="70"/>
      <c r="BK79" s="79"/>
      <c r="BL79" s="69"/>
      <c r="BM79" s="70"/>
      <c r="BN79" s="79"/>
      <c r="BO79" s="69"/>
      <c r="BP79" s="80"/>
      <c r="BQ79" s="79"/>
      <c r="BR79" s="69"/>
      <c r="BS79" s="80"/>
      <c r="CO79" s="79">
        <v>10</v>
      </c>
      <c r="CP79" s="69">
        <v>10000</v>
      </c>
      <c r="CQ79" s="69"/>
      <c r="CR79" s="69"/>
      <c r="CS79" s="69"/>
      <c r="CT79" s="12">
        <f>IF(CN22&lt;10000,BB22,0)</f>
        <v>270</v>
      </c>
      <c r="CU79" s="70">
        <f>IF($CN$13&lt;=10000,CU22-1000,$CN$13-10000)</f>
        <v>800</v>
      </c>
    </row>
    <row r="80" spans="1:99" ht="13.5" thickBot="1" x14ac:dyDescent="0.25">
      <c r="A80" s="20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7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Y80" s="5"/>
      <c r="BA80" s="35"/>
      <c r="BB80" s="5">
        <f>SUM(BB13:BB79)</f>
        <v>5352</v>
      </c>
      <c r="BC80" s="37"/>
      <c r="BD80" s="38">
        <f>SUM(BD13:BD22)+BC79</f>
        <v>5352</v>
      </c>
      <c r="BG80" s="81">
        <f>SUM(BG13:BG15)</f>
        <v>5730</v>
      </c>
      <c r="BJ80" s="81">
        <f>SUM(BJ13:BJ15)</f>
        <v>10800</v>
      </c>
      <c r="BM80" s="81">
        <f>SUM(BM13:BM15)</f>
        <v>10800</v>
      </c>
      <c r="BP80" s="81">
        <f>SUM(BP13:BP15)</f>
        <v>8520</v>
      </c>
      <c r="BS80" s="81">
        <f>SUM(BS13:BS15)</f>
        <v>4320</v>
      </c>
      <c r="CO80" s="4">
        <v>11</v>
      </c>
      <c r="CP80" s="4">
        <f>CN14-10000</f>
        <v>-9200</v>
      </c>
    </row>
    <row r="81" spans="1:94" ht="13.5" thickBot="1" x14ac:dyDescent="0.25">
      <c r="A81" s="82" t="s">
        <v>73</v>
      </c>
      <c r="B81" s="76"/>
      <c r="C81" s="76"/>
      <c r="D81" s="76"/>
      <c r="E81" s="76"/>
      <c r="F81" s="76"/>
      <c r="G81" s="76"/>
      <c r="H81" s="76"/>
      <c r="I81" s="76" t="s">
        <v>21</v>
      </c>
      <c r="J81" s="76"/>
      <c r="K81" s="76">
        <f>H22*C90*C91</f>
        <v>0</v>
      </c>
      <c r="L81" s="83" t="s">
        <v>28</v>
      </c>
      <c r="M81" s="1">
        <v>25</v>
      </c>
      <c r="N81" s="84" t="s">
        <v>40</v>
      </c>
      <c r="O81" s="84"/>
      <c r="P81" s="84"/>
      <c r="Q81" s="84"/>
      <c r="R81" s="84"/>
      <c r="S81" s="84"/>
      <c r="T81" s="1"/>
      <c r="U81" s="1"/>
      <c r="V81" s="1"/>
      <c r="W81" s="1"/>
      <c r="X81" s="1"/>
      <c r="Y81" s="1"/>
      <c r="Z81" s="1"/>
      <c r="AZ81" s="7"/>
      <c r="BA81" s="102"/>
      <c r="BB81" s="107">
        <f>(BD80/AY13)</f>
        <v>0.49555555555555558</v>
      </c>
      <c r="BC81" s="103"/>
      <c r="BD81" s="104"/>
      <c r="BE81" s="8"/>
      <c r="BF81" s="107">
        <f>(BG80/$AY$13)</f>
        <v>0.53055555555555556</v>
      </c>
      <c r="BG81" s="8"/>
      <c r="BH81" s="8"/>
      <c r="BI81" s="107">
        <f>(BJ80/$AY$13)</f>
        <v>1</v>
      </c>
      <c r="BJ81" s="8"/>
      <c r="BK81" s="8"/>
      <c r="BL81" s="107">
        <f>(BM80/$AY$13)</f>
        <v>1</v>
      </c>
      <c r="BM81" s="8"/>
      <c r="BN81" s="8"/>
      <c r="BO81" s="107">
        <f>(BP80/$AY$13)</f>
        <v>0.78888888888888886</v>
      </c>
      <c r="BP81" s="105"/>
      <c r="BQ81" s="8"/>
      <c r="BR81" s="107">
        <f>(BS80/$AY$13)</f>
        <v>0.4</v>
      </c>
      <c r="BS81" s="106"/>
      <c r="CP81" s="4">
        <f>ABS(CP80)</f>
        <v>9200</v>
      </c>
    </row>
    <row r="82" spans="1:94" x14ac:dyDescent="0.2">
      <c r="A82" s="82" t="s">
        <v>56</v>
      </c>
      <c r="B82" s="76"/>
      <c r="C82" s="76"/>
      <c r="D82" s="76"/>
      <c r="E82" s="76"/>
      <c r="F82" s="76"/>
      <c r="G82" s="76"/>
      <c r="H82" s="76"/>
      <c r="I82" s="76"/>
      <c r="J82" s="76"/>
      <c r="K82" s="76">
        <f>H22/(B102*B97)</f>
        <v>0</v>
      </c>
      <c r="L82" s="83" t="s">
        <v>28</v>
      </c>
      <c r="M82" s="1">
        <v>25</v>
      </c>
      <c r="N82" s="84" t="s">
        <v>41</v>
      </c>
      <c r="O82" s="84"/>
      <c r="P82" s="84"/>
      <c r="Q82" s="84"/>
      <c r="R82" s="84"/>
      <c r="S82" s="84"/>
      <c r="T82" s="1"/>
      <c r="U82" s="1"/>
      <c r="V82" s="1"/>
      <c r="W82" s="1"/>
      <c r="X82" s="1"/>
      <c r="Y82" s="1"/>
      <c r="Z82" s="1"/>
    </row>
    <row r="83" spans="1:94" x14ac:dyDescent="0.2">
      <c r="A83" s="20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83"/>
      <c r="M83" s="1"/>
      <c r="N83" s="84"/>
      <c r="O83" s="84"/>
      <c r="P83" s="84"/>
      <c r="Q83" s="84"/>
      <c r="R83" s="84"/>
      <c r="S83" s="84"/>
      <c r="T83" s="1"/>
      <c r="U83" s="1"/>
      <c r="V83" s="1"/>
      <c r="W83" s="1"/>
      <c r="X83" s="1"/>
      <c r="Y83" s="1"/>
      <c r="Z83" s="1"/>
      <c r="BA83" s="30"/>
      <c r="BB83" s="30"/>
      <c r="BD83" s="85"/>
    </row>
    <row r="84" spans="1:94" x14ac:dyDescent="0.2">
      <c r="A84" s="20"/>
      <c r="B84" s="76"/>
      <c r="C84" s="76"/>
      <c r="D84" s="76"/>
      <c r="E84" s="76"/>
      <c r="F84" s="76"/>
      <c r="G84" s="76"/>
      <c r="H84" s="76"/>
      <c r="I84" s="76" t="s">
        <v>22</v>
      </c>
      <c r="J84" s="76"/>
      <c r="K84" s="76">
        <f>I22*C90*C91</f>
        <v>0</v>
      </c>
      <c r="L84" s="83" t="s">
        <v>28</v>
      </c>
      <c r="M84" s="1">
        <v>25</v>
      </c>
      <c r="N84" s="84" t="s">
        <v>40</v>
      </c>
      <c r="O84" s="84"/>
      <c r="P84" s="84"/>
      <c r="Q84" s="84"/>
      <c r="R84" s="84"/>
      <c r="S84" s="84"/>
      <c r="T84" s="1"/>
      <c r="U84" s="1"/>
      <c r="V84" s="1"/>
      <c r="W84" s="1"/>
      <c r="X84" s="1"/>
      <c r="Y84" s="1"/>
      <c r="Z84" s="1"/>
      <c r="AB84" s="114"/>
    </row>
    <row r="85" spans="1:94" x14ac:dyDescent="0.2">
      <c r="A85" s="20"/>
      <c r="B85" s="76"/>
      <c r="C85" s="76"/>
      <c r="D85" s="76"/>
      <c r="E85" s="76"/>
      <c r="F85" s="76"/>
      <c r="G85" s="76"/>
      <c r="H85" s="76"/>
      <c r="I85" s="76"/>
      <c r="J85" s="76"/>
      <c r="K85" s="76">
        <f>I22/(B102*B97)</f>
        <v>0</v>
      </c>
      <c r="L85" s="83" t="s">
        <v>28</v>
      </c>
      <c r="M85" s="1">
        <v>25</v>
      </c>
      <c r="N85" s="84" t="s">
        <v>41</v>
      </c>
      <c r="O85" s="84"/>
      <c r="P85" s="84"/>
      <c r="Q85" s="84"/>
      <c r="R85" s="84"/>
      <c r="S85" s="84"/>
      <c r="T85" s="1"/>
      <c r="U85" s="1"/>
      <c r="V85" s="1"/>
      <c r="W85" s="1"/>
      <c r="X85" s="1"/>
      <c r="Y85" s="1"/>
      <c r="Z85" s="1"/>
      <c r="AB85" s="115"/>
    </row>
    <row r="86" spans="1:94" x14ac:dyDescent="0.2">
      <c r="A86" s="20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83"/>
      <c r="M86" s="1"/>
      <c r="N86" s="84"/>
      <c r="O86" s="84"/>
      <c r="P86" s="84"/>
      <c r="Q86" s="84"/>
      <c r="R86" s="84"/>
      <c r="S86" s="84"/>
      <c r="T86" s="1"/>
      <c r="U86" s="1"/>
      <c r="V86" s="1"/>
      <c r="W86" s="1"/>
      <c r="X86" s="1"/>
      <c r="Y86" s="1"/>
      <c r="Z86" s="1"/>
    </row>
    <row r="87" spans="1:94" x14ac:dyDescent="0.2">
      <c r="A87" s="20"/>
      <c r="B87" s="76"/>
      <c r="C87" s="76"/>
      <c r="D87" s="76"/>
      <c r="E87" s="76"/>
      <c r="F87" s="76"/>
      <c r="G87" s="76"/>
      <c r="H87" s="76"/>
      <c r="I87" s="76" t="s">
        <v>23</v>
      </c>
      <c r="J87" s="76"/>
      <c r="K87" s="76">
        <f>J22*C90*C91</f>
        <v>0</v>
      </c>
      <c r="L87" s="83" t="s">
        <v>28</v>
      </c>
      <c r="M87" s="1">
        <v>25</v>
      </c>
      <c r="N87" s="84" t="s">
        <v>40</v>
      </c>
      <c r="O87" s="84"/>
      <c r="P87" s="84"/>
      <c r="Q87" s="84"/>
      <c r="R87" s="84"/>
      <c r="S87" s="84"/>
      <c r="T87" s="1"/>
      <c r="U87" s="1"/>
      <c r="V87" s="1"/>
      <c r="W87" s="1"/>
      <c r="X87" s="1"/>
      <c r="Y87" s="1"/>
      <c r="Z87" s="1"/>
    </row>
    <row r="88" spans="1:94" ht="13.5" thickBot="1" x14ac:dyDescent="0.25">
      <c r="A88" s="20"/>
      <c r="B88" s="76"/>
      <c r="C88" s="76"/>
      <c r="D88" s="76"/>
      <c r="E88" s="76"/>
      <c r="F88" s="76"/>
      <c r="G88" s="76"/>
      <c r="H88" s="76"/>
      <c r="I88" s="76"/>
      <c r="J88" s="76"/>
      <c r="K88" s="76">
        <f>J22/(B102*B97)</f>
        <v>0</v>
      </c>
      <c r="L88" s="83" t="s">
        <v>28</v>
      </c>
      <c r="M88" s="1">
        <v>25</v>
      </c>
      <c r="N88" s="84" t="s">
        <v>41</v>
      </c>
      <c r="O88" s="84"/>
      <c r="P88" s="84"/>
      <c r="Q88" s="84"/>
      <c r="R88" s="84"/>
      <c r="S88" s="84"/>
      <c r="T88" s="1"/>
      <c r="U88" s="1"/>
      <c r="V88" s="1"/>
      <c r="W88" s="1"/>
      <c r="X88" s="1"/>
      <c r="Y88" s="1"/>
      <c r="Z88" s="1"/>
      <c r="AC88" s="4" t="s">
        <v>66</v>
      </c>
      <c r="AG88" s="4">
        <f>IF($AC$95=1,$BB$81,0)</f>
        <v>0</v>
      </c>
    </row>
    <row r="89" spans="1:94" ht="13.5" thickBot="1" x14ac:dyDescent="0.25">
      <c r="A89" s="86" t="s">
        <v>65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4"/>
      <c r="AC89" s="10"/>
      <c r="AD89" s="4" t="s">
        <v>67</v>
      </c>
      <c r="AG89" s="4">
        <f>IF($AC$95=2,$BF$81,0)</f>
        <v>0.53055555555555556</v>
      </c>
    </row>
    <row r="90" spans="1:94" x14ac:dyDescent="0.2">
      <c r="A90" s="34" t="s">
        <v>27</v>
      </c>
      <c r="B90" s="16"/>
      <c r="C90" s="16">
        <v>20</v>
      </c>
      <c r="D90" s="87" t="s">
        <v>57</v>
      </c>
      <c r="E90" s="16"/>
      <c r="F90" s="16"/>
      <c r="G90" s="16"/>
      <c r="H90" s="16"/>
      <c r="I90" s="16"/>
      <c r="J90" s="16"/>
      <c r="K90" s="16"/>
      <c r="L90" s="16"/>
      <c r="M90" s="16"/>
      <c r="N90" s="1" t="s">
        <v>21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88">
        <f>AT22</f>
        <v>9520</v>
      </c>
      <c r="AC90" s="19">
        <v>2</v>
      </c>
      <c r="AD90" s="4" t="s">
        <v>68</v>
      </c>
      <c r="AG90" s="4">
        <f>IF($AC$95=3,$BI$81,0)</f>
        <v>0</v>
      </c>
    </row>
    <row r="91" spans="1:94" x14ac:dyDescent="0.2">
      <c r="A91" s="108" t="s">
        <v>39</v>
      </c>
      <c r="B91" s="92"/>
      <c r="C91" s="92">
        <f>AG94</f>
        <v>0.53055555555555556</v>
      </c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88"/>
      <c r="AC91" s="19"/>
      <c r="AD91" s="4" t="s">
        <v>69</v>
      </c>
      <c r="AG91" s="4">
        <f>IF($AC$95=4,$BL$81,0)</f>
        <v>0</v>
      </c>
    </row>
    <row r="92" spans="1:94" x14ac:dyDescent="0.2">
      <c r="A92" s="43" t="s">
        <v>51</v>
      </c>
      <c r="B92" s="16"/>
      <c r="C92" s="16">
        <v>2</v>
      </c>
      <c r="D92" s="21" t="s">
        <v>52</v>
      </c>
      <c r="E92" s="16"/>
      <c r="F92" s="16"/>
      <c r="G92" s="16"/>
      <c r="H92" s="16"/>
      <c r="I92" s="16"/>
      <c r="J92" s="16"/>
      <c r="K92" s="16"/>
      <c r="L92" s="16"/>
      <c r="M92" s="16"/>
      <c r="N92" s="1" t="s">
        <v>22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88">
        <f>AU22</f>
        <v>10800</v>
      </c>
      <c r="AC92" s="19"/>
      <c r="AD92" s="4" t="s">
        <v>70</v>
      </c>
      <c r="AG92" s="4">
        <f>IF($AC$95=5,$BO$81,0)</f>
        <v>0</v>
      </c>
    </row>
    <row r="93" spans="1:94" x14ac:dyDescent="0.2">
      <c r="A93" s="55"/>
      <c r="B93" s="16"/>
      <c r="C93" s="22" t="s">
        <v>28</v>
      </c>
      <c r="D93" s="22">
        <f>CC6</f>
        <v>6</v>
      </c>
      <c r="E93" s="16"/>
      <c r="F93" s="16" t="s">
        <v>29</v>
      </c>
      <c r="G93" s="16"/>
      <c r="H93" s="16"/>
      <c r="I93" s="16"/>
      <c r="J93" s="16"/>
      <c r="K93" s="16"/>
      <c r="L93" s="89">
        <f>K22*C90*C91/B97</f>
        <v>105120.74074074074</v>
      </c>
      <c r="M93" s="16"/>
      <c r="N93" s="1" t="s">
        <v>23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88">
        <f>AV22</f>
        <v>9400</v>
      </c>
      <c r="AC93" s="19"/>
      <c r="AD93" s="4" t="s">
        <v>71</v>
      </c>
      <c r="AG93" s="4">
        <f>IF($AC$95=6,$BR$81,0)</f>
        <v>0</v>
      </c>
    </row>
    <row r="94" spans="1:94" x14ac:dyDescent="0.2">
      <c r="A94" s="55"/>
      <c r="B94" s="16"/>
      <c r="C94" s="22"/>
      <c r="D94" s="22"/>
      <c r="E94" s="16"/>
      <c r="F94" s="16"/>
      <c r="G94" s="16"/>
      <c r="H94" s="16"/>
      <c r="I94" s="16"/>
      <c r="J94" s="16"/>
      <c r="K94" s="16"/>
      <c r="L94" s="36"/>
      <c r="M94" s="16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88"/>
      <c r="AC94" s="19"/>
      <c r="AD94" s="4" t="s">
        <v>72</v>
      </c>
      <c r="AG94" s="4">
        <f>SUM(AG88:AG93)</f>
        <v>0.53055555555555556</v>
      </c>
    </row>
    <row r="95" spans="1:94" x14ac:dyDescent="0.2">
      <c r="A95" s="34"/>
      <c r="B95" s="16"/>
      <c r="C95" s="16"/>
      <c r="D95" s="22">
        <f>CC9</f>
        <v>4</v>
      </c>
      <c r="E95" s="16"/>
      <c r="F95" s="16" t="s">
        <v>38</v>
      </c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88"/>
      <c r="AC95" s="17">
        <f>SUM(AC89:AC94)</f>
        <v>2</v>
      </c>
    </row>
    <row r="96" spans="1:94" ht="12" customHeight="1" x14ac:dyDescent="0.2">
      <c r="A96" s="90" t="s">
        <v>30</v>
      </c>
      <c r="B96" s="91">
        <f>(K22/(B97*B102))*C91</f>
        <v>23.891077441077442</v>
      </c>
      <c r="C96" s="22" t="s">
        <v>28</v>
      </c>
      <c r="D96" s="22">
        <f>MAX(D95,D93)</f>
        <v>6</v>
      </c>
      <c r="E96" s="16"/>
      <c r="F96" s="92" t="s">
        <v>54</v>
      </c>
      <c r="G96" s="16"/>
      <c r="H96" s="16"/>
      <c r="I96" s="16"/>
      <c r="J96" s="16"/>
      <c r="K96" s="16"/>
      <c r="L96" s="16"/>
      <c r="M96" s="93"/>
      <c r="N96" s="93" t="s">
        <v>26</v>
      </c>
      <c r="O96" s="93"/>
      <c r="P96" s="93"/>
      <c r="Q96" s="93"/>
      <c r="R96" s="93"/>
      <c r="S96" s="93"/>
      <c r="T96" s="91"/>
      <c r="U96" s="91"/>
      <c r="V96" s="91"/>
      <c r="W96" s="91"/>
      <c r="X96" s="91"/>
      <c r="Y96" s="91"/>
      <c r="Z96" s="91"/>
      <c r="AA96" s="94">
        <f>(AA90+AA92+AA93)/3</f>
        <v>9906.6666666666661</v>
      </c>
    </row>
    <row r="97" spans="1:27" ht="12" customHeight="1" x14ac:dyDescent="0.2">
      <c r="A97" s="95" t="s">
        <v>36</v>
      </c>
      <c r="B97" s="22">
        <v>3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96"/>
    </row>
    <row r="98" spans="1:27" ht="12" customHeight="1" x14ac:dyDescent="0.2">
      <c r="A98" s="97" t="s">
        <v>31</v>
      </c>
      <c r="B98" s="16">
        <v>1</v>
      </c>
      <c r="C98" s="16"/>
      <c r="D98" s="16" t="s">
        <v>32</v>
      </c>
      <c r="E98" s="16"/>
      <c r="F98" s="16"/>
      <c r="G98" s="16"/>
      <c r="H98" s="16"/>
      <c r="I98" s="16"/>
      <c r="J98" s="16"/>
      <c r="K98" s="16"/>
      <c r="L98" s="16"/>
      <c r="M98" s="87"/>
      <c r="N98" s="22" t="s">
        <v>55</v>
      </c>
      <c r="O98" s="22"/>
      <c r="P98" s="22"/>
      <c r="Q98" s="22"/>
      <c r="R98" s="22"/>
      <c r="S98" s="22"/>
      <c r="T98" s="16"/>
      <c r="U98" s="16"/>
      <c r="V98" s="16"/>
      <c r="W98" s="16"/>
      <c r="X98" s="16"/>
      <c r="Y98" s="16"/>
      <c r="Z98" s="16"/>
      <c r="AA98" s="98">
        <f>MAX(AA90,AA92)</f>
        <v>10800</v>
      </c>
    </row>
    <row r="99" spans="1:27" ht="12" customHeight="1" x14ac:dyDescent="0.2">
      <c r="A99" s="97" t="s">
        <v>31</v>
      </c>
      <c r="B99" s="16">
        <v>1.73</v>
      </c>
      <c r="C99" s="16"/>
      <c r="D99" s="16" t="s">
        <v>33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23"/>
    </row>
    <row r="100" spans="1:27" x14ac:dyDescent="0.2">
      <c r="A100" s="97" t="s">
        <v>31</v>
      </c>
      <c r="B100" s="16">
        <v>2</v>
      </c>
      <c r="C100" s="16"/>
      <c r="D100" s="16" t="s">
        <v>34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23"/>
    </row>
    <row r="101" spans="1:27" x14ac:dyDescent="0.2">
      <c r="A101" s="97" t="s">
        <v>31</v>
      </c>
      <c r="B101" s="16">
        <v>3</v>
      </c>
      <c r="C101" s="16"/>
      <c r="D101" s="16" t="s">
        <v>35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23"/>
    </row>
    <row r="102" spans="1:27" x14ac:dyDescent="0.2">
      <c r="A102" s="97" t="s">
        <v>37</v>
      </c>
      <c r="B102" s="16">
        <v>220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23"/>
    </row>
    <row r="103" spans="1:27" ht="13.5" thickBot="1" x14ac:dyDescent="0.25">
      <c r="A103" s="79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70"/>
    </row>
  </sheetData>
  <mergeCells count="1">
    <mergeCell ref="A3:N3"/>
  </mergeCells>
  <pageMargins left="0.78740157499999996" right="0.78740157499999996" top="0.984251969" bottom="0.984251969" header="0.49212598499999999" footer="0.49212598499999999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ENG ALIMENTOS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 Especial</dc:creator>
  <cp:lastModifiedBy>Alisson</cp:lastModifiedBy>
  <cp:lastPrinted>2012-11-07T02:31:23Z</cp:lastPrinted>
  <dcterms:created xsi:type="dcterms:W3CDTF">2001-07-29T20:10:50Z</dcterms:created>
  <dcterms:modified xsi:type="dcterms:W3CDTF">2013-09-02T13:35:45Z</dcterms:modified>
</cp:coreProperties>
</file>