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9420" windowHeight="4500"/>
  </bookViews>
  <sheets>
    <sheet name="ENG ALIMENTOS" sheetId="5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H21" i="5"/>
  <c r="L6"/>
  <c r="AH6" s="1"/>
  <c r="AY6"/>
  <c r="AZ6"/>
  <c r="BE6"/>
  <c r="CN6"/>
  <c r="CO6"/>
  <c r="CP6"/>
  <c r="AH68"/>
  <c r="AL65" s="1"/>
  <c r="L20"/>
  <c r="L19"/>
  <c r="BA19" s="1"/>
  <c r="L18"/>
  <c r="AH18" s="1"/>
  <c r="AQ18" s="1"/>
  <c r="L17"/>
  <c r="AH17" s="1"/>
  <c r="L16"/>
  <c r="AH16" s="1"/>
  <c r="L15"/>
  <c r="L14"/>
  <c r="BA14" s="1"/>
  <c r="L13"/>
  <c r="AH13" s="1"/>
  <c r="L12"/>
  <c r="AY12" s="1"/>
  <c r="L11"/>
  <c r="AH11" s="1"/>
  <c r="L10"/>
  <c r="AZ10" s="1"/>
  <c r="L9"/>
  <c r="AY9" s="1"/>
  <c r="K21"/>
  <c r="L61" s="1"/>
  <c r="J21"/>
  <c r="L58" s="1"/>
  <c r="I21"/>
  <c r="L55" s="1"/>
  <c r="G21"/>
  <c r="F21"/>
  <c r="E21"/>
  <c r="D21"/>
  <c r="C21"/>
  <c r="CP20"/>
  <c r="CO20"/>
  <c r="CN20"/>
  <c r="CL20"/>
  <c r="CK20"/>
  <c r="CJ20"/>
  <c r="CI20"/>
  <c r="BA20"/>
  <c r="AZ20"/>
  <c r="AY20"/>
  <c r="CP19"/>
  <c r="CO19"/>
  <c r="CN19"/>
  <c r="CL19"/>
  <c r="CK19"/>
  <c r="CJ19"/>
  <c r="CI19"/>
  <c r="CM19"/>
  <c r="AZ19"/>
  <c r="AY19"/>
  <c r="CP18"/>
  <c r="CO18"/>
  <c r="CN18"/>
  <c r="CL18"/>
  <c r="CK18"/>
  <c r="CJ18"/>
  <c r="CI18"/>
  <c r="BA18"/>
  <c r="AY18"/>
  <c r="AZ18"/>
  <c r="CP17"/>
  <c r="CO17"/>
  <c r="CN17"/>
  <c r="CL17"/>
  <c r="CK17"/>
  <c r="CJ17"/>
  <c r="CI17"/>
  <c r="CM17"/>
  <c r="BA17"/>
  <c r="AZ17"/>
  <c r="CP16"/>
  <c r="CO16"/>
  <c r="CN16"/>
  <c r="CL16"/>
  <c r="CK16"/>
  <c r="CJ16"/>
  <c r="CI16"/>
  <c r="BA16"/>
  <c r="AY16"/>
  <c r="CL15"/>
  <c r="CK15"/>
  <c r="CJ15"/>
  <c r="CI15"/>
  <c r="BA15"/>
  <c r="AZ15"/>
  <c r="AH15"/>
  <c r="AQ15" s="1"/>
  <c r="DB14"/>
  <c r="CP14"/>
  <c r="CO14"/>
  <c r="CN14"/>
  <c r="CL14"/>
  <c r="CK14"/>
  <c r="CJ14"/>
  <c r="CI14"/>
  <c r="CM14" s="1"/>
  <c r="AZ14"/>
  <c r="BA13"/>
  <c r="CP12"/>
  <c r="CO12"/>
  <c r="CN12"/>
  <c r="CL12"/>
  <c r="CK12"/>
  <c r="CJ12"/>
  <c r="CI12"/>
  <c r="CM12" s="1"/>
  <c r="BA12"/>
  <c r="AZ12"/>
  <c r="CP11"/>
  <c r="CO11"/>
  <c r="CN11"/>
  <c r="CL11"/>
  <c r="CK11"/>
  <c r="CJ11"/>
  <c r="CI11"/>
  <c r="AZ11"/>
  <c r="AY11"/>
  <c r="CP10"/>
  <c r="CO10"/>
  <c r="CN10"/>
  <c r="CL10"/>
  <c r="CK10"/>
  <c r="CJ10"/>
  <c r="CI10"/>
  <c r="BA10"/>
  <c r="AY10"/>
  <c r="CP9"/>
  <c r="CO9"/>
  <c r="CN9"/>
  <c r="BA9"/>
  <c r="AZ9"/>
  <c r="CP8"/>
  <c r="CO8"/>
  <c r="CN8"/>
  <c r="CL8"/>
  <c r="CK8"/>
  <c r="CJ8"/>
  <c r="CI8"/>
  <c r="L8"/>
  <c r="AH8" s="1"/>
  <c r="CP7"/>
  <c r="CO7"/>
  <c r="CN7"/>
  <c r="CL7"/>
  <c r="CK7"/>
  <c r="CJ7"/>
  <c r="CI7"/>
  <c r="L7"/>
  <c r="AH7" s="1"/>
  <c r="AY7"/>
  <c r="AY15"/>
  <c r="AH20"/>
  <c r="AQ20" s="1"/>
  <c r="AY8"/>
  <c r="AY14"/>
  <c r="AL66"/>
  <c r="AL62"/>
  <c r="BA7" l="1"/>
  <c r="AY13"/>
  <c r="AJ15"/>
  <c r="CM8"/>
  <c r="CM7"/>
  <c r="AZ8"/>
  <c r="AZ13"/>
  <c r="AH9"/>
  <c r="AI9" s="1"/>
  <c r="AN16"/>
  <c r="AI16"/>
  <c r="AQ16"/>
  <c r="AP16"/>
  <c r="AP11"/>
  <c r="AQ11"/>
  <c r="AN11"/>
  <c r="AK15"/>
  <c r="AL15" s="1"/>
  <c r="AH14"/>
  <c r="AP14" s="1"/>
  <c r="BA6"/>
  <c r="AN15"/>
  <c r="BA11"/>
  <c r="CM16"/>
  <c r="AL64"/>
  <c r="AZ16"/>
  <c r="AI15"/>
  <c r="AH10"/>
  <c r="AQ10" s="1"/>
  <c r="CM11"/>
  <c r="AI6"/>
  <c r="AN6"/>
  <c r="AJ6"/>
  <c r="AP6"/>
  <c r="AI10"/>
  <c r="CM10"/>
  <c r="CM15"/>
  <c r="AQ6"/>
  <c r="AM6"/>
  <c r="AK6"/>
  <c r="AM18"/>
  <c r="AH19"/>
  <c r="AP19" s="1"/>
  <c r="CM18"/>
  <c r="CM20"/>
  <c r="AP17"/>
  <c r="AM17"/>
  <c r="AI17"/>
  <c r="AN17"/>
  <c r="AQ17"/>
  <c r="AJ17"/>
  <c r="AK17"/>
  <c r="AN18"/>
  <c r="AM15"/>
  <c r="AP15"/>
  <c r="AR15" s="1"/>
  <c r="AK16"/>
  <c r="AJ16"/>
  <c r="AM16"/>
  <c r="AQ14"/>
  <c r="AP18"/>
  <c r="AR18" s="1"/>
  <c r="AY17"/>
  <c r="AH12"/>
  <c r="AQ12" s="1"/>
  <c r="AM14"/>
  <c r="AK14"/>
  <c r="AI11"/>
  <c r="L21"/>
  <c r="C69" s="1"/>
  <c r="BA8"/>
  <c r="AI20"/>
  <c r="AN20"/>
  <c r="AN13"/>
  <c r="AM13"/>
  <c r="AP13"/>
  <c r="AQ13"/>
  <c r="AK13"/>
  <c r="AI13"/>
  <c r="AJ13"/>
  <c r="AL13" s="1"/>
  <c r="AM11"/>
  <c r="AJ11"/>
  <c r="AK11"/>
  <c r="AP20"/>
  <c r="AR20" s="1"/>
  <c r="AM20"/>
  <c r="AJ8"/>
  <c r="AI8"/>
  <c r="AQ8"/>
  <c r="AP8"/>
  <c r="AM8"/>
  <c r="AN8"/>
  <c r="AK8"/>
  <c r="AK20"/>
  <c r="AJ20"/>
  <c r="AY21"/>
  <c r="AF63" s="1"/>
  <c r="AK7"/>
  <c r="AN7"/>
  <c r="AQ7"/>
  <c r="AJ7"/>
  <c r="AI7"/>
  <c r="AP7"/>
  <c r="AM7"/>
  <c r="AM10"/>
  <c r="AK18"/>
  <c r="AJ18"/>
  <c r="AI18"/>
  <c r="AZ7"/>
  <c r="AO6" l="1"/>
  <c r="AL6"/>
  <c r="AN10"/>
  <c r="AO10" s="1"/>
  <c r="AJ10"/>
  <c r="AR11"/>
  <c r="AL16"/>
  <c r="AO16"/>
  <c r="AR16"/>
  <c r="AO15"/>
  <c r="AS15" s="1"/>
  <c r="AT15" s="1"/>
  <c r="AJ9"/>
  <c r="AN9"/>
  <c r="AP9"/>
  <c r="AM9"/>
  <c r="AQ9"/>
  <c r="AK9"/>
  <c r="AP10"/>
  <c r="AR10" s="1"/>
  <c r="AK10"/>
  <c r="AK19"/>
  <c r="AI19"/>
  <c r="AZ21"/>
  <c r="AF65" s="1"/>
  <c r="AF71" s="1"/>
  <c r="AO11"/>
  <c r="AJ14"/>
  <c r="AL14" s="1"/>
  <c r="AN14"/>
  <c r="AO14" s="1"/>
  <c r="AI14"/>
  <c r="AR6"/>
  <c r="AO18"/>
  <c r="AJ19"/>
  <c r="AM19"/>
  <c r="AN19"/>
  <c r="AQ19"/>
  <c r="AR19" s="1"/>
  <c r="AO20"/>
  <c r="AL17"/>
  <c r="AK12"/>
  <c r="AJ12"/>
  <c r="AN12"/>
  <c r="AM12"/>
  <c r="AI12"/>
  <c r="AP12"/>
  <c r="AR12" s="1"/>
  <c r="AR14"/>
  <c r="AR17"/>
  <c r="AO17"/>
  <c r="AO13"/>
  <c r="BA21"/>
  <c r="AF66" s="1"/>
  <c r="AL11"/>
  <c r="AR13"/>
  <c r="AO8"/>
  <c r="AL20"/>
  <c r="AR7"/>
  <c r="AL7"/>
  <c r="AR8"/>
  <c r="AL8"/>
  <c r="AL18"/>
  <c r="AS18" s="1"/>
  <c r="AO7"/>
  <c r="AL19" l="1"/>
  <c r="AS6"/>
  <c r="AT6" s="1"/>
  <c r="AL10"/>
  <c r="AS10"/>
  <c r="AS16"/>
  <c r="AW15"/>
  <c r="AS11"/>
  <c r="M11" s="1"/>
  <c r="AL9"/>
  <c r="AO9"/>
  <c r="AR9"/>
  <c r="AL12"/>
  <c r="AV15"/>
  <c r="M15"/>
  <c r="AS20"/>
  <c r="AW20" s="1"/>
  <c r="AF69"/>
  <c r="AS14"/>
  <c r="AV14" s="1"/>
  <c r="AO12"/>
  <c r="BD13"/>
  <c r="CS13" s="1"/>
  <c r="CZ13" s="1"/>
  <c r="CZ14" s="1"/>
  <c r="BF6"/>
  <c r="M6"/>
  <c r="AW6"/>
  <c r="AS17"/>
  <c r="AW17" s="1"/>
  <c r="AO19"/>
  <c r="AS19" s="1"/>
  <c r="M19" s="1"/>
  <c r="AU15"/>
  <c r="AS13"/>
  <c r="AV13" s="1"/>
  <c r="AT11"/>
  <c r="AS8"/>
  <c r="AU11"/>
  <c r="AV11"/>
  <c r="AW11"/>
  <c r="AS7"/>
  <c r="AT7" s="1"/>
  <c r="AW18"/>
  <c r="AV18"/>
  <c r="AU18"/>
  <c r="AT18"/>
  <c r="M18"/>
  <c r="AV6" l="1"/>
  <c r="AU6"/>
  <c r="AW10"/>
  <c r="M10"/>
  <c r="AU8"/>
  <c r="M8"/>
  <c r="M20"/>
  <c r="AT10"/>
  <c r="AV10"/>
  <c r="AU10"/>
  <c r="AW14"/>
  <c r="AT19"/>
  <c r="AV20"/>
  <c r="AU17"/>
  <c r="AU20"/>
  <c r="AS9"/>
  <c r="AW13"/>
  <c r="AV16"/>
  <c r="AU16"/>
  <c r="AT16"/>
  <c r="M16"/>
  <c r="AW16"/>
  <c r="AS12"/>
  <c r="AW12" s="1"/>
  <c r="AT9"/>
  <c r="CN13"/>
  <c r="BJ15"/>
  <c r="BK15" s="1"/>
  <c r="BL15" s="1"/>
  <c r="CP13"/>
  <c r="BM14"/>
  <c r="BO14" s="1"/>
  <c r="CS14"/>
  <c r="CU54" s="1"/>
  <c r="BJ13"/>
  <c r="BV14"/>
  <c r="BX14" s="1"/>
  <c r="BD15"/>
  <c r="CO15" s="1"/>
  <c r="BM13"/>
  <c r="BQ13"/>
  <c r="BJ14"/>
  <c r="BL14" s="1"/>
  <c r="BP13"/>
  <c r="BK13"/>
  <c r="BT13"/>
  <c r="BV13"/>
  <c r="BS14"/>
  <c r="BU14" s="1"/>
  <c r="CO13"/>
  <c r="BW13"/>
  <c r="BF19"/>
  <c r="BG19" s="1"/>
  <c r="CY20" s="1"/>
  <c r="BP14"/>
  <c r="BR14" s="1"/>
  <c r="BS15"/>
  <c r="BT15" s="1"/>
  <c r="BU15" s="1"/>
  <c r="BS13"/>
  <c r="BN13"/>
  <c r="AX15"/>
  <c r="N15" s="1"/>
  <c r="AT14"/>
  <c r="AU14"/>
  <c r="M14"/>
  <c r="AW8"/>
  <c r="AT20"/>
  <c r="BG6"/>
  <c r="BK6"/>
  <c r="BM6"/>
  <c r="BQ6"/>
  <c r="BS6"/>
  <c r="BW6"/>
  <c r="BY6"/>
  <c r="CC6"/>
  <c r="CE6"/>
  <c r="BH6"/>
  <c r="BJ6"/>
  <c r="BN6"/>
  <c r="BP6"/>
  <c r="BT6"/>
  <c r="BV6"/>
  <c r="BZ6"/>
  <c r="CB6"/>
  <c r="CF6"/>
  <c r="AX6"/>
  <c r="N6" s="1"/>
  <c r="AU19"/>
  <c r="AV19"/>
  <c r="AV17"/>
  <c r="AT17"/>
  <c r="M17"/>
  <c r="AW19"/>
  <c r="AU13"/>
  <c r="AV8"/>
  <c r="M13"/>
  <c r="AT13"/>
  <c r="AT8"/>
  <c r="M7"/>
  <c r="AU7"/>
  <c r="AX11"/>
  <c r="N11" s="1"/>
  <c r="AX18"/>
  <c r="N18" s="1"/>
  <c r="AW7"/>
  <c r="AV7"/>
  <c r="CZ15"/>
  <c r="AX10"/>
  <c r="N10" s="1"/>
  <c r="AU9" l="1"/>
  <c r="M9"/>
  <c r="AX20"/>
  <c r="N20" s="1"/>
  <c r="AV9"/>
  <c r="AW9"/>
  <c r="AX16"/>
  <c r="N16" s="1"/>
  <c r="AX13"/>
  <c r="N13" s="1"/>
  <c r="BF16"/>
  <c r="BG16" s="1"/>
  <c r="AU12"/>
  <c r="M12"/>
  <c r="AT12"/>
  <c r="AV12"/>
  <c r="AX8"/>
  <c r="N8" s="1"/>
  <c r="BU13"/>
  <c r="BT54" s="1"/>
  <c r="BF18"/>
  <c r="BG18" s="1"/>
  <c r="CY19" s="1"/>
  <c r="CS15"/>
  <c r="BF17"/>
  <c r="BG17" s="1"/>
  <c r="CY18" s="1"/>
  <c r="CP15"/>
  <c r="CP21" s="1"/>
  <c r="BF13"/>
  <c r="CB13" s="1"/>
  <c r="BF20"/>
  <c r="BG20" s="1"/>
  <c r="CY21" s="1"/>
  <c r="BF21"/>
  <c r="BG21" s="1"/>
  <c r="CY17"/>
  <c r="CO21"/>
  <c r="BL13"/>
  <c r="BK54" s="1"/>
  <c r="BR13"/>
  <c r="BQ54" s="1"/>
  <c r="CN15"/>
  <c r="CN21" s="1"/>
  <c r="BX13"/>
  <c r="BW54" s="1"/>
  <c r="BO13"/>
  <c r="BN54" s="1"/>
  <c r="AL63" s="1"/>
  <c r="BF14"/>
  <c r="BG14" s="1"/>
  <c r="BI14" s="1"/>
  <c r="BF15"/>
  <c r="BG15" s="1"/>
  <c r="BI15" s="1"/>
  <c r="AX14"/>
  <c r="N14" s="1"/>
  <c r="AX17"/>
  <c r="N17" s="1"/>
  <c r="CD6"/>
  <c r="BX6"/>
  <c r="BR6"/>
  <c r="BL6"/>
  <c r="CG6"/>
  <c r="CA6"/>
  <c r="BU6"/>
  <c r="BO6"/>
  <c r="BI6"/>
  <c r="AX19"/>
  <c r="N19" s="1"/>
  <c r="AX7"/>
  <c r="N7" s="1"/>
  <c r="CZ16"/>
  <c r="AX9" l="1"/>
  <c r="N9" s="1"/>
  <c r="AX12"/>
  <c r="N12" s="1"/>
  <c r="CY16"/>
  <c r="CY15"/>
  <c r="BG13"/>
  <c r="BI13" s="1"/>
  <c r="BZ13"/>
  <c r="CC13"/>
  <c r="CD13" s="1"/>
  <c r="BY13"/>
  <c r="CH6"/>
  <c r="BI16"/>
  <c r="CY14" l="1"/>
  <c r="CA13"/>
  <c r="CH13" s="1"/>
  <c r="CL13" s="1"/>
  <c r="CI6"/>
  <c r="CK6"/>
  <c r="CJ6"/>
  <c r="CL6"/>
  <c r="CZ17"/>
  <c r="CM6" l="1"/>
  <c r="CI13"/>
  <c r="CK13"/>
  <c r="CJ13"/>
  <c r="BI17"/>
  <c r="CZ18"/>
  <c r="CM13" l="1"/>
  <c r="BI18"/>
  <c r="CZ19"/>
  <c r="BI19" l="1"/>
  <c r="CZ20"/>
  <c r="BI20" l="1"/>
  <c r="CZ21"/>
  <c r="BI21" l="1"/>
  <c r="BG54" s="1"/>
  <c r="AL61" s="1"/>
  <c r="AL67" s="1"/>
  <c r="M66" l="1"/>
  <c r="L57"/>
  <c r="L60"/>
  <c r="L54"/>
  <c r="BF9" l="1"/>
  <c r="BH9" l="1"/>
  <c r="BG9"/>
  <c r="BV9"/>
  <c r="BP9"/>
  <c r="BM9"/>
  <c r="BJ9"/>
  <c r="BY9"/>
  <c r="CB9"/>
  <c r="BS9"/>
  <c r="CE9"/>
  <c r="CG9" s="1"/>
  <c r="BK9"/>
  <c r="BZ9"/>
  <c r="BW9"/>
  <c r="BQ9"/>
  <c r="BN9"/>
  <c r="BT9"/>
  <c r="CC9"/>
  <c r="BI9" l="1"/>
  <c r="BU9"/>
  <c r="CA9"/>
  <c r="BO9"/>
  <c r="BX9"/>
  <c r="CD9"/>
  <c r="BL9"/>
  <c r="BR9"/>
  <c r="E66" l="1"/>
  <c r="CH9"/>
  <c r="CI9" l="1"/>
  <c r="CK9"/>
  <c r="CL9"/>
  <c r="CJ9"/>
  <c r="E68"/>
  <c r="E69" s="1"/>
  <c r="M21" s="1"/>
  <c r="CM9" l="1"/>
</calcChain>
</file>

<file path=xl/sharedStrings.xml><?xml version="1.0" encoding="utf-8"?>
<sst xmlns="http://schemas.openxmlformats.org/spreadsheetml/2006/main" count="148" uniqueCount="78">
  <si>
    <t>Circuitos</t>
  </si>
  <si>
    <t xml:space="preserve">  Lâmpadas</t>
  </si>
  <si>
    <t xml:space="preserve">  Tomadas</t>
  </si>
  <si>
    <t>Total(W)</t>
  </si>
  <si>
    <t>Fio (mm²)</t>
  </si>
  <si>
    <t>Disjuntor(A)</t>
  </si>
  <si>
    <t>Fase</t>
  </si>
  <si>
    <t>TOTAL</t>
  </si>
  <si>
    <t>DISTANCIA</t>
  </si>
  <si>
    <t>D(m)</t>
  </si>
  <si>
    <t>W*D(m)</t>
  </si>
  <si>
    <t>FIO mm²</t>
  </si>
  <si>
    <t>1,5mm²</t>
  </si>
  <si>
    <t xml:space="preserve">2,5mm² </t>
  </si>
  <si>
    <t>4,0mm²</t>
  </si>
  <si>
    <t>6,0mm²</t>
  </si>
  <si>
    <t>B</t>
  </si>
  <si>
    <t>C</t>
  </si>
  <si>
    <t>ABC</t>
  </si>
  <si>
    <t>DISJ.10</t>
  </si>
  <si>
    <t>DISJ.20</t>
  </si>
  <si>
    <t>DISJ.25</t>
  </si>
  <si>
    <t>DIS.35</t>
  </si>
  <si>
    <t>FASE A</t>
  </si>
  <si>
    <t>FASE B</t>
  </si>
  <si>
    <t>FASE C</t>
  </si>
  <si>
    <t>Nº DA</t>
  </si>
  <si>
    <t>FASE</t>
  </si>
  <si>
    <t xml:space="preserve">    FASE MÉDIA=</t>
  </si>
  <si>
    <t>A</t>
  </si>
  <si>
    <t>DIST. QUADRO</t>
  </si>
  <si>
    <t>FIO</t>
  </si>
  <si>
    <t>1° CRITÉRIO</t>
  </si>
  <si>
    <t>I=</t>
  </si>
  <si>
    <t>K=</t>
  </si>
  <si>
    <t>CIRCUITO MONOFÁSICO</t>
  </si>
  <si>
    <t>CIRCUITO TRIFÁSICO C/3 FIOS</t>
  </si>
  <si>
    <t>CIRCUITO 2 FASES + NEUTRO</t>
  </si>
  <si>
    <t>CIRCUITO TRIFÁSICO DE 4 FIOS</t>
  </si>
  <si>
    <t>K USADO=</t>
  </si>
  <si>
    <t>TENSÃO=</t>
  </si>
  <si>
    <t>2° CRITÉRIO</t>
  </si>
  <si>
    <t>FATOR DEMANDA=</t>
  </si>
  <si>
    <t>1º CRITÉRIO</t>
  </si>
  <si>
    <t>2º CRITÉRIO</t>
  </si>
  <si>
    <t>6mm²</t>
  </si>
  <si>
    <t xml:space="preserve">10mm² </t>
  </si>
  <si>
    <t>16,0mm²</t>
  </si>
  <si>
    <t>25,0mm²</t>
  </si>
  <si>
    <t>35mm²</t>
  </si>
  <si>
    <t xml:space="preserve">50mm² </t>
  </si>
  <si>
    <t>70,0mm²</t>
  </si>
  <si>
    <t>95,0mm²</t>
  </si>
  <si>
    <t>CALCULO DA FIAÇÃO COM QUEDA DE TENSÃO 1% PARA QUADROS DE DISTRIBUIÇÃO EXTERNO</t>
  </si>
  <si>
    <t>QUEDA TENSÃO</t>
  </si>
  <si>
    <t>%</t>
  </si>
  <si>
    <t>CORRENTE</t>
  </si>
  <si>
    <t>FIO ADOTADO</t>
  </si>
  <si>
    <t>FASE MÁXIMA=</t>
  </si>
  <si>
    <t>(USANDO A TABELA 1.7 E 1.3)</t>
  </si>
  <si>
    <t>m</t>
  </si>
  <si>
    <t>FATOR DE DEMANDA</t>
  </si>
  <si>
    <t>RESIDENCIAS</t>
  </si>
  <si>
    <t>ESCRITÓRIOS</t>
  </si>
  <si>
    <t>QUARTÉIS</t>
  </si>
  <si>
    <t>HOTÉIS</t>
  </si>
  <si>
    <t>HOSPITÁIS</t>
  </si>
  <si>
    <t>RES. COLETIVAS</t>
  </si>
  <si>
    <t>PARA CIRCUITO MONOFÁSICO  E TRIFÁSICO(CÁLCULO PARA MAIOR FASE)</t>
  </si>
  <si>
    <t>CÁLCULO DA DEMANDA</t>
  </si>
  <si>
    <t>1 - RESIDENCIAS</t>
  </si>
  <si>
    <t>2 - APARTAMENTOS</t>
  </si>
  <si>
    <t>3 - ESCRITÓRIOS</t>
  </si>
  <si>
    <t>4 - QUARTÉIS</t>
  </si>
  <si>
    <t>5 - HOTÉIS</t>
  </si>
  <si>
    <t>6 - HOSPITAIS</t>
  </si>
  <si>
    <t>CÁLCULO DAS BITOLAS (FASES SEPARADAS)</t>
  </si>
  <si>
    <t>QDG - LABORATÓRIO DE QUÍMICA - BLOCO M</t>
  </si>
</sst>
</file>

<file path=xl/styles.xml><?xml version="1.0" encoding="utf-8"?>
<styleSheet xmlns="http://schemas.openxmlformats.org/spreadsheetml/2006/main">
  <numFmts count="4">
    <numFmt numFmtId="164" formatCode="_(* #,##0.00_);_(* \(#,##0.00\);_(* &quot;-&quot;??_);_(@_)"/>
    <numFmt numFmtId="165" formatCode="#,##0.0"/>
    <numFmt numFmtId="166" formatCode="0.0%"/>
    <numFmt numFmtId="167" formatCode="_(* #,##0_);_(* \(#,##0\);_(* &quot;-&quot;??_);_(@_)"/>
  </numFmts>
  <fonts count="11">
    <font>
      <sz val="10"/>
      <name val="Arial"/>
    </font>
    <font>
      <sz val="10"/>
      <name val="Arial"/>
      <family val="2"/>
    </font>
    <font>
      <b/>
      <sz val="2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13">
    <xf numFmtId="0" fontId="0" fillId="0" borderId="0" xfId="0"/>
    <xf numFmtId="3" fontId="3" fillId="0" borderId="0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Fill="1"/>
    <xf numFmtId="0" fontId="3" fillId="0" borderId="0" xfId="0" applyFont="1" applyFill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0" fontId="0" fillId="0" borderId="2" xfId="0" applyFill="1" applyBorder="1" applyAlignment="1">
      <alignment horizontal="center"/>
    </xf>
    <xf numFmtId="0" fontId="7" fillId="0" borderId="6" xfId="0" applyFont="1" applyFill="1" applyBorder="1"/>
    <xf numFmtId="0" fontId="0" fillId="0" borderId="7" xfId="0" applyFill="1" applyBorder="1"/>
    <xf numFmtId="0" fontId="3" fillId="0" borderId="7" xfId="0" applyFont="1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0" xfId="0" applyFill="1" applyBorder="1"/>
    <xf numFmtId="0" fontId="0" fillId="0" borderId="0" xfId="0" applyFill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7" fillId="0" borderId="0" xfId="0" applyFont="1" applyFill="1" applyBorder="1"/>
    <xf numFmtId="0" fontId="3" fillId="0" borderId="0" xfId="0" applyFont="1" applyFill="1" applyBorder="1"/>
    <xf numFmtId="0" fontId="0" fillId="0" borderId="1" xfId="0" applyFill="1" applyBorder="1"/>
    <xf numFmtId="0" fontId="0" fillId="0" borderId="12" xfId="0" applyFill="1" applyBorder="1"/>
    <xf numFmtId="3" fontId="0" fillId="0" borderId="12" xfId="0" applyNumberFormat="1" applyFill="1" applyBorder="1"/>
    <xf numFmtId="3" fontId="0" fillId="0" borderId="12" xfId="0" applyNumberForma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3" fontId="0" fillId="0" borderId="0" xfId="0" applyNumberFormat="1" applyFill="1"/>
    <xf numFmtId="4" fontId="0" fillId="0" borderId="0" xfId="0" applyNumberFormat="1" applyFill="1"/>
    <xf numFmtId="2" fontId="0" fillId="0" borderId="0" xfId="0" applyNumberFormat="1" applyFill="1"/>
    <xf numFmtId="2" fontId="3" fillId="0" borderId="0" xfId="0" applyNumberFormat="1" applyFont="1" applyFill="1"/>
    <xf numFmtId="0" fontId="0" fillId="0" borderId="10" xfId="0" applyFill="1" applyBorder="1"/>
    <xf numFmtId="3" fontId="0" fillId="0" borderId="0" xfId="0" applyNumberFormat="1" applyFill="1" applyBorder="1"/>
    <xf numFmtId="4" fontId="0" fillId="0" borderId="0" xfId="0" applyNumberFormat="1" applyFill="1" applyBorder="1"/>
    <xf numFmtId="2" fontId="0" fillId="0" borderId="0" xfId="0" applyNumberFormat="1" applyFill="1" applyBorder="1"/>
    <xf numFmtId="2" fontId="3" fillId="0" borderId="0" xfId="0" applyNumberFormat="1" applyFont="1" applyFill="1" applyBorder="1"/>
    <xf numFmtId="4" fontId="0" fillId="0" borderId="11" xfId="0" applyNumberFormat="1" applyFill="1" applyBorder="1"/>
    <xf numFmtId="3" fontId="0" fillId="0" borderId="11" xfId="0" applyNumberFormat="1" applyFill="1" applyBorder="1" applyAlignment="1">
      <alignment horizontal="center"/>
    </xf>
    <xf numFmtId="3" fontId="7" fillId="0" borderId="0" xfId="0" applyNumberFormat="1" applyFont="1" applyFill="1" applyBorder="1"/>
    <xf numFmtId="165" fontId="0" fillId="0" borderId="0" xfId="0" applyNumberFormat="1" applyFill="1" applyBorder="1"/>
    <xf numFmtId="0" fontId="7" fillId="0" borderId="10" xfId="0" applyFont="1" applyFill="1" applyBorder="1"/>
    <xf numFmtId="3" fontId="5" fillId="0" borderId="0" xfId="0" applyNumberFormat="1" applyFont="1" applyFill="1" applyBorder="1"/>
    <xf numFmtId="0" fontId="8" fillId="0" borderId="0" xfId="0" applyFont="1" applyFill="1"/>
    <xf numFmtId="3" fontId="0" fillId="0" borderId="6" xfId="0" applyNumberFormat="1" applyFill="1" applyBorder="1"/>
    <xf numFmtId="4" fontId="3" fillId="0" borderId="7" xfId="0" applyNumberFormat="1" applyFont="1" applyFill="1" applyBorder="1"/>
    <xf numFmtId="2" fontId="0" fillId="0" borderId="7" xfId="0" applyNumberFormat="1" applyFill="1" applyBorder="1"/>
    <xf numFmtId="2" fontId="3" fillId="0" borderId="8" xfId="0" applyNumberFormat="1" applyFont="1" applyFill="1" applyBorder="1"/>
    <xf numFmtId="2" fontId="0" fillId="0" borderId="6" xfId="0" applyNumberFormat="1" applyFill="1" applyBorder="1"/>
    <xf numFmtId="2" fontId="3" fillId="0" borderId="7" xfId="0" applyNumberFormat="1" applyFont="1" applyFill="1" applyBorder="1"/>
    <xf numFmtId="2" fontId="5" fillId="0" borderId="7" xfId="0" applyNumberFormat="1" applyFont="1" applyFill="1" applyBorder="1"/>
    <xf numFmtId="4" fontId="0" fillId="0" borderId="6" xfId="0" applyNumberFormat="1" applyFill="1" applyBorder="1"/>
    <xf numFmtId="0" fontId="5" fillId="0" borderId="0" xfId="0" applyFont="1" applyFill="1"/>
    <xf numFmtId="3" fontId="0" fillId="0" borderId="10" xfId="0" applyNumberFormat="1" applyFill="1" applyBorder="1"/>
    <xf numFmtId="1" fontId="0" fillId="0" borderId="0" xfId="0" applyNumberFormat="1" applyFill="1" applyBorder="1"/>
    <xf numFmtId="3" fontId="0" fillId="0" borderId="13" xfId="0" applyNumberFormat="1" applyFill="1" applyBorder="1"/>
    <xf numFmtId="1" fontId="3" fillId="0" borderId="1" xfId="0" applyNumberFormat="1" applyFont="1" applyFill="1" applyBorder="1"/>
    <xf numFmtId="2" fontId="0" fillId="0" borderId="10" xfId="0" applyNumberFormat="1" applyFill="1" applyBorder="1"/>
    <xf numFmtId="2" fontId="3" fillId="0" borderId="1" xfId="0" applyNumberFormat="1" applyFont="1" applyFill="1" applyBorder="1"/>
    <xf numFmtId="4" fontId="0" fillId="0" borderId="10" xfId="0" applyNumberFormat="1" applyFill="1" applyBorder="1"/>
    <xf numFmtId="1" fontId="0" fillId="0" borderId="10" xfId="0" applyNumberFormat="1" applyFill="1" applyBorder="1"/>
    <xf numFmtId="0" fontId="0" fillId="0" borderId="6" xfId="0" applyFill="1" applyBorder="1"/>
    <xf numFmtId="2" fontId="0" fillId="0" borderId="14" xfId="0" applyNumberFormat="1" applyFill="1" applyBorder="1"/>
    <xf numFmtId="2" fontId="0" fillId="0" borderId="15" xfId="0" applyNumberFormat="1" applyFill="1" applyBorder="1"/>
    <xf numFmtId="2" fontId="3" fillId="0" borderId="16" xfId="0" applyNumberFormat="1" applyFont="1" applyFill="1" applyBorder="1"/>
    <xf numFmtId="4" fontId="0" fillId="0" borderId="14" xfId="0" applyNumberFormat="1" applyFill="1" applyBorder="1"/>
    <xf numFmtId="2" fontId="3" fillId="0" borderId="15" xfId="0" applyNumberFormat="1" applyFont="1" applyFill="1" applyBorder="1"/>
    <xf numFmtId="0" fontId="0" fillId="0" borderId="15" xfId="0" applyFill="1" applyBorder="1"/>
    <xf numFmtId="0" fontId="0" fillId="0" borderId="16" xfId="0" applyFill="1" applyBorder="1"/>
    <xf numFmtId="3" fontId="3" fillId="0" borderId="2" xfId="0" applyNumberFormat="1" applyFont="1" applyFill="1" applyBorder="1"/>
    <xf numFmtId="4" fontId="3" fillId="0" borderId="2" xfId="0" applyNumberFormat="1" applyFont="1" applyFill="1" applyBorder="1"/>
    <xf numFmtId="3" fontId="3" fillId="0" borderId="2" xfId="0" applyNumberFormat="1" applyFont="1" applyFill="1" applyBorder="1" applyAlignment="1">
      <alignment horizontal="center"/>
    </xf>
    <xf numFmtId="0" fontId="3" fillId="0" borderId="1" xfId="0" applyFont="1" applyFill="1" applyBorder="1"/>
    <xf numFmtId="3" fontId="3" fillId="0" borderId="0" xfId="0" applyNumberFormat="1" applyFont="1" applyFill="1" applyBorder="1"/>
    <xf numFmtId="4" fontId="3" fillId="0" borderId="0" xfId="0" applyNumberFormat="1" applyFont="1" applyFill="1" applyBorder="1"/>
    <xf numFmtId="0" fontId="0" fillId="0" borderId="14" xfId="0" applyFill="1" applyBorder="1"/>
    <xf numFmtId="0" fontId="3" fillId="0" borderId="0" xfId="0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left"/>
    </xf>
    <xf numFmtId="3" fontId="3" fillId="0" borderId="0" xfId="0" applyNumberFormat="1" applyFont="1" applyFill="1"/>
    <xf numFmtId="0" fontId="3" fillId="0" borderId="6" xfId="0" applyFont="1" applyFill="1" applyBorder="1" applyAlignment="1">
      <alignment horizontal="left"/>
    </xf>
    <xf numFmtId="0" fontId="5" fillId="0" borderId="0" xfId="0" applyFont="1" applyFill="1" applyBorder="1"/>
    <xf numFmtId="3" fontId="0" fillId="0" borderId="1" xfId="0" applyNumberFormat="1" applyFill="1" applyBorder="1"/>
    <xf numFmtId="3" fontId="4" fillId="0" borderId="0" xfId="0" applyNumberFormat="1" applyFont="1" applyFill="1" applyBorder="1"/>
    <xf numFmtId="0" fontId="4" fillId="0" borderId="10" xfId="0" applyFont="1" applyFill="1" applyBorder="1" applyAlignment="1">
      <alignment horizontal="right"/>
    </xf>
    <xf numFmtId="0" fontId="4" fillId="0" borderId="0" xfId="0" applyFont="1" applyFill="1" applyBorder="1"/>
    <xf numFmtId="0" fontId="9" fillId="0" borderId="0" xfId="0" applyFont="1" applyFill="1" applyBorder="1"/>
    <xf numFmtId="0" fontId="4" fillId="0" borderId="0" xfId="0" applyFont="1" applyFill="1" applyBorder="1" applyAlignment="1"/>
    <xf numFmtId="4" fontId="4" fillId="0" borderId="1" xfId="0" applyNumberFormat="1" applyFont="1" applyFill="1" applyBorder="1"/>
    <xf numFmtId="0" fontId="3" fillId="0" borderId="10" xfId="0" applyFont="1" applyFill="1" applyBorder="1"/>
    <xf numFmtId="4" fontId="0" fillId="0" borderId="1" xfId="0" applyNumberFormat="1" applyFill="1" applyBorder="1"/>
    <xf numFmtId="0" fontId="0" fillId="0" borderId="10" xfId="0" applyFill="1" applyBorder="1" applyAlignment="1">
      <alignment horizontal="right"/>
    </xf>
    <xf numFmtId="3" fontId="3" fillId="0" borderId="1" xfId="0" applyNumberFormat="1" applyFont="1" applyFill="1" applyBorder="1"/>
    <xf numFmtId="0" fontId="6" fillId="0" borderId="0" xfId="0" applyFont="1" applyFill="1" applyBorder="1" applyAlignment="1">
      <alignment horizontal="center"/>
    </xf>
    <xf numFmtId="167" fontId="3" fillId="0" borderId="1" xfId="2" applyNumberFormat="1" applyFont="1" applyFill="1" applyBorder="1"/>
    <xf numFmtId="3" fontId="0" fillId="0" borderId="4" xfId="0" applyNumberFormat="1" applyFill="1" applyBorder="1"/>
    <xf numFmtId="9" fontId="0" fillId="0" borderId="4" xfId="1" applyFont="1" applyFill="1" applyBorder="1"/>
    <xf numFmtId="2" fontId="3" fillId="0" borderId="4" xfId="0" applyNumberFormat="1" applyFont="1" applyFill="1" applyBorder="1"/>
    <xf numFmtId="0" fontId="3" fillId="0" borderId="4" xfId="0" applyFont="1" applyFill="1" applyBorder="1"/>
    <xf numFmtId="0" fontId="3" fillId="0" borderId="5" xfId="0" applyFont="1" applyFill="1" applyBorder="1"/>
    <xf numFmtId="166" fontId="0" fillId="0" borderId="2" xfId="1" applyNumberFormat="1" applyFont="1" applyFill="1" applyBorder="1"/>
    <xf numFmtId="0" fontId="10" fillId="0" borderId="10" xfId="0" applyFont="1" applyFill="1" applyBorder="1"/>
    <xf numFmtId="3" fontId="8" fillId="0" borderId="0" xfId="0" applyNumberFormat="1" applyFont="1" applyFill="1"/>
    <xf numFmtId="0" fontId="0" fillId="0" borderId="12" xfId="0" applyBorder="1"/>
    <xf numFmtId="0" fontId="0" fillId="0" borderId="11" xfId="0" applyBorder="1"/>
    <xf numFmtId="0" fontId="0" fillId="2" borderId="0" xfId="0" applyFill="1"/>
    <xf numFmtId="0" fontId="0" fillId="2" borderId="0" xfId="0" applyFill="1" applyAlignment="1">
      <alignment horizontal="center"/>
    </xf>
    <xf numFmtId="3" fontId="9" fillId="2" borderId="0" xfId="0" applyNumberFormat="1" applyFont="1" applyFill="1"/>
    <xf numFmtId="2" fontId="9" fillId="2" borderId="0" xfId="0" applyNumberFormat="1" applyFont="1" applyFill="1"/>
    <xf numFmtId="0" fontId="0" fillId="0" borderId="11" xfId="0" quotePrefix="1" applyBorder="1"/>
    <xf numFmtId="0" fontId="6" fillId="0" borderId="15" xfId="0" applyFont="1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3" fillId="0" borderId="18" xfId="0" applyFont="1" applyFill="1" applyBorder="1" applyAlignment="1">
      <alignment horizontal="center"/>
    </xf>
  </cellXfs>
  <cellStyles count="3">
    <cellStyle name="Normal" xfId="0" builtinId="0"/>
    <cellStyle name="Porcentagem" xfId="1" builtinId="5"/>
    <cellStyle name="Separador de milhares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B76"/>
  <sheetViews>
    <sheetView tabSelected="1" topLeftCell="A4" workbookViewId="0">
      <selection activeCell="N21" sqref="N21"/>
    </sheetView>
  </sheetViews>
  <sheetFormatPr defaultRowHeight="12.75"/>
  <cols>
    <col min="1" max="1" width="9.140625" style="4"/>
    <col min="2" max="2" width="10.28515625" style="4" customWidth="1"/>
    <col min="3" max="3" width="4.7109375" style="4" customWidth="1"/>
    <col min="4" max="4" width="4.85546875" style="4" customWidth="1"/>
    <col min="5" max="5" width="3.85546875" style="4" customWidth="1"/>
    <col min="6" max="6" width="3.7109375" style="4" customWidth="1"/>
    <col min="7" max="8" width="4.85546875" style="4" customWidth="1"/>
    <col min="9" max="9" width="8.5703125" style="4" customWidth="1"/>
    <col min="10" max="10" width="7.7109375" style="4" customWidth="1"/>
    <col min="11" max="11" width="8.28515625" style="4" customWidth="1"/>
    <col min="12" max="12" width="9.140625" style="4"/>
    <col min="13" max="13" width="11.7109375" style="4" bestFit="1" customWidth="1"/>
    <col min="14" max="14" width="10.7109375" style="4" customWidth="1"/>
    <col min="15" max="15" width="8.85546875" style="4" customWidth="1"/>
    <col min="16" max="21" width="8.85546875" style="4" hidden="1" customWidth="1"/>
    <col min="22" max="26" width="8.85546875" style="4" customWidth="1"/>
    <col min="27" max="31" width="8.85546875" style="4" hidden="1" customWidth="1"/>
    <col min="32" max="32" width="9.140625" style="4"/>
    <col min="33" max="33" width="10.5703125" style="105" customWidth="1"/>
    <col min="34" max="34" width="10.7109375" style="4" customWidth="1"/>
    <col min="35" max="59" width="9.140625" style="4"/>
    <col min="60" max="60" width="9.42578125" style="4" customWidth="1"/>
    <col min="61" max="61" width="9.140625" style="5"/>
    <col min="62" max="62" width="9.140625" style="4"/>
    <col min="63" max="63" width="10.140625" style="4" customWidth="1"/>
    <col min="64" max="66" width="9.140625" style="4"/>
    <col min="67" max="67" width="9" style="4" customWidth="1"/>
    <col min="68" max="72" width="9.140625" style="4"/>
    <col min="73" max="73" width="9.140625" style="5"/>
    <col min="74" max="75" width="9.140625" style="4"/>
    <col min="76" max="76" width="9.140625" style="5"/>
    <col min="77" max="85" width="9.140625" style="4"/>
    <col min="86" max="86" width="9.140625" style="5"/>
    <col min="87" max="16384" width="9.140625" style="4"/>
  </cols>
  <sheetData>
    <row r="3" spans="2:106" ht="27" thickBot="1">
      <c r="B3" s="110" t="s">
        <v>77</v>
      </c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93"/>
      <c r="Q3" s="93"/>
      <c r="R3" s="93"/>
      <c r="S3" s="93"/>
      <c r="T3" s="93"/>
      <c r="U3" s="3"/>
      <c r="V3" s="3"/>
      <c r="W3" s="3"/>
      <c r="X3" s="3"/>
      <c r="Y3" s="3"/>
      <c r="Z3" s="3"/>
      <c r="AA3" s="3"/>
      <c r="AB3" s="3"/>
      <c r="AC3" s="3"/>
      <c r="AD3" s="3"/>
      <c r="AE3" s="3"/>
    </row>
    <row r="4" spans="2:106" ht="13.5" thickBot="1">
      <c r="B4" s="6" t="s">
        <v>0</v>
      </c>
      <c r="C4" s="7" t="s">
        <v>1</v>
      </c>
      <c r="D4" s="8"/>
      <c r="E4" s="9"/>
      <c r="F4" s="7" t="s">
        <v>2</v>
      </c>
      <c r="G4" s="8"/>
      <c r="H4" s="9"/>
      <c r="I4" s="9"/>
      <c r="J4" s="9"/>
      <c r="K4" s="9"/>
      <c r="L4" s="6" t="s">
        <v>3</v>
      </c>
      <c r="M4" s="6" t="s">
        <v>4</v>
      </c>
      <c r="N4" s="6" t="s">
        <v>5</v>
      </c>
      <c r="O4" s="10" t="s">
        <v>6</v>
      </c>
      <c r="P4" s="2"/>
      <c r="Q4" s="2"/>
      <c r="R4" s="2"/>
      <c r="S4" s="2"/>
      <c r="T4" s="2"/>
      <c r="U4" s="2"/>
      <c r="V4" s="19"/>
      <c r="W4" s="19"/>
      <c r="X4" s="19"/>
      <c r="Y4" s="19"/>
      <c r="Z4" s="19"/>
      <c r="AA4" s="2"/>
      <c r="AB4" s="2"/>
      <c r="AC4" s="2"/>
      <c r="AD4" s="2"/>
      <c r="AE4" s="2"/>
      <c r="AF4" s="2" t="s">
        <v>26</v>
      </c>
      <c r="AG4" s="105" t="s">
        <v>8</v>
      </c>
      <c r="AM4" s="4" t="s">
        <v>11</v>
      </c>
      <c r="BE4" s="11" t="s">
        <v>53</v>
      </c>
      <c r="BF4" s="12"/>
      <c r="BG4" s="12"/>
      <c r="BH4" s="12"/>
      <c r="BI4" s="13"/>
      <c r="BJ4" s="12"/>
      <c r="BK4" s="12"/>
      <c r="BL4" s="12"/>
      <c r="BM4" s="12" t="s">
        <v>11</v>
      </c>
      <c r="BN4" s="12"/>
      <c r="BO4" s="12"/>
      <c r="BP4" s="12"/>
      <c r="BQ4" s="12"/>
      <c r="BR4" s="12"/>
      <c r="BS4" s="12"/>
      <c r="BT4" s="12"/>
      <c r="BU4" s="13"/>
      <c r="BV4" s="12"/>
      <c r="BW4" s="12"/>
      <c r="BX4" s="13"/>
      <c r="BY4" s="12"/>
      <c r="BZ4" s="12"/>
      <c r="CA4" s="12"/>
      <c r="CB4" s="12"/>
      <c r="CC4" s="12"/>
      <c r="CD4" s="12"/>
      <c r="CE4" s="12"/>
      <c r="CF4" s="12"/>
      <c r="CG4" s="12"/>
      <c r="CH4" s="13"/>
      <c r="CI4" s="12"/>
      <c r="CJ4" s="12"/>
      <c r="CK4" s="12"/>
      <c r="CL4" s="12"/>
      <c r="CM4" s="12"/>
      <c r="CN4" s="12"/>
      <c r="CO4" s="12"/>
      <c r="CP4" s="12"/>
      <c r="CQ4" s="14"/>
    </row>
    <row r="5" spans="2:106" ht="13.5" thickBot="1">
      <c r="B5" s="15"/>
      <c r="C5" s="6">
        <v>40</v>
      </c>
      <c r="D5" s="6">
        <v>60</v>
      </c>
      <c r="E5" s="6">
        <v>100</v>
      </c>
      <c r="F5" s="6">
        <v>600</v>
      </c>
      <c r="G5" s="6">
        <v>1600</v>
      </c>
      <c r="H5" s="6">
        <v>4200</v>
      </c>
      <c r="I5" s="10" t="s">
        <v>23</v>
      </c>
      <c r="J5" s="10" t="s">
        <v>24</v>
      </c>
      <c r="K5" s="10" t="s">
        <v>25</v>
      </c>
      <c r="L5" s="6"/>
      <c r="M5" s="6"/>
      <c r="N5" s="6"/>
      <c r="O5" s="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7" t="s">
        <v>27</v>
      </c>
      <c r="AG5" s="106" t="s">
        <v>9</v>
      </c>
      <c r="AH5" s="17" t="s">
        <v>10</v>
      </c>
      <c r="AI5" s="4" t="s">
        <v>12</v>
      </c>
      <c r="AJ5" s="4" t="s">
        <v>13</v>
      </c>
      <c r="AK5" s="4" t="s">
        <v>13</v>
      </c>
      <c r="AL5" s="4" t="s">
        <v>13</v>
      </c>
      <c r="AM5" s="4" t="s">
        <v>14</v>
      </c>
      <c r="AN5" s="4" t="s">
        <v>14</v>
      </c>
      <c r="AO5" s="4" t="s">
        <v>14</v>
      </c>
      <c r="AP5" s="4" t="s">
        <v>15</v>
      </c>
      <c r="AQ5" s="4" t="s">
        <v>15</v>
      </c>
      <c r="AR5" s="4" t="s">
        <v>15</v>
      </c>
      <c r="AT5" s="4" t="s">
        <v>19</v>
      </c>
      <c r="AU5" s="4" t="s">
        <v>20</v>
      </c>
      <c r="AV5" s="4" t="s">
        <v>21</v>
      </c>
      <c r="AW5" s="4" t="s">
        <v>22</v>
      </c>
      <c r="AY5" s="4" t="s">
        <v>23</v>
      </c>
      <c r="AZ5" s="4" t="s">
        <v>24</v>
      </c>
      <c r="BA5" s="4" t="s">
        <v>25</v>
      </c>
      <c r="BE5" s="18" t="s">
        <v>9</v>
      </c>
      <c r="BF5" s="19" t="s">
        <v>10</v>
      </c>
      <c r="BG5" s="19" t="s">
        <v>45</v>
      </c>
      <c r="BH5" s="19" t="s">
        <v>45</v>
      </c>
      <c r="BI5" s="20" t="s">
        <v>45</v>
      </c>
      <c r="BJ5" s="16" t="s">
        <v>46</v>
      </c>
      <c r="BK5" s="16" t="s">
        <v>46</v>
      </c>
      <c r="BL5" s="16" t="s">
        <v>46</v>
      </c>
      <c r="BM5" s="16" t="s">
        <v>47</v>
      </c>
      <c r="BN5" s="16" t="s">
        <v>47</v>
      </c>
      <c r="BO5" s="16" t="s">
        <v>47</v>
      </c>
      <c r="BP5" s="16" t="s">
        <v>48</v>
      </c>
      <c r="BQ5" s="16" t="s">
        <v>48</v>
      </c>
      <c r="BR5" s="16" t="s">
        <v>48</v>
      </c>
      <c r="BS5" s="19" t="s">
        <v>49</v>
      </c>
      <c r="BT5" s="19" t="s">
        <v>49</v>
      </c>
      <c r="BU5" s="20" t="s">
        <v>49</v>
      </c>
      <c r="BV5" s="21" t="s">
        <v>50</v>
      </c>
      <c r="BW5" s="21" t="s">
        <v>50</v>
      </c>
      <c r="BX5" s="21" t="s">
        <v>50</v>
      </c>
      <c r="BY5" s="21" t="s">
        <v>51</v>
      </c>
      <c r="BZ5" s="21" t="s">
        <v>51</v>
      </c>
      <c r="CA5" s="21" t="s">
        <v>51</v>
      </c>
      <c r="CB5" s="21" t="s">
        <v>52</v>
      </c>
      <c r="CC5" s="21" t="s">
        <v>52</v>
      </c>
      <c r="CD5" s="21" t="s">
        <v>52</v>
      </c>
      <c r="CE5" s="81" t="s">
        <v>14</v>
      </c>
      <c r="CF5" s="81" t="s">
        <v>14</v>
      </c>
      <c r="CG5" s="81" t="s">
        <v>14</v>
      </c>
      <c r="CH5" s="22"/>
      <c r="CI5" s="16" t="s">
        <v>19</v>
      </c>
      <c r="CJ5" s="16" t="s">
        <v>20</v>
      </c>
      <c r="CK5" s="16" t="s">
        <v>21</v>
      </c>
      <c r="CL5" s="16" t="s">
        <v>22</v>
      </c>
      <c r="CM5" s="16"/>
      <c r="CN5" s="16" t="s">
        <v>23</v>
      </c>
      <c r="CO5" s="16" t="s">
        <v>24</v>
      </c>
      <c r="CP5" s="16" t="s">
        <v>25</v>
      </c>
      <c r="CQ5" s="23"/>
    </row>
    <row r="6" spans="2:106">
      <c r="B6" s="111">
        <v>1</v>
      </c>
      <c r="C6" s="103"/>
      <c r="D6" s="103"/>
      <c r="E6" s="103"/>
      <c r="F6" s="103"/>
      <c r="G6" s="103"/>
      <c r="H6" s="103"/>
      <c r="I6" s="24"/>
      <c r="J6" s="24"/>
      <c r="K6" s="24"/>
      <c r="L6" s="25">
        <f>C6*$C$5+D6*$D$5+E6*$E$5+F6*$F$5+G6*$G$5+H6*$H$5</f>
        <v>0</v>
      </c>
      <c r="M6" s="37">
        <f>AS6</f>
        <v>1.5</v>
      </c>
      <c r="N6" s="26">
        <f>AX6</f>
        <v>10</v>
      </c>
      <c r="O6" s="27" t="s">
        <v>17</v>
      </c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4">
        <v>3</v>
      </c>
      <c r="AG6" s="105">
        <v>100</v>
      </c>
      <c r="AH6" s="28">
        <f>L6*AG6</f>
        <v>0</v>
      </c>
      <c r="AI6" s="29">
        <f>IF(AH6&lt;42108,1.5,0)</f>
        <v>1.5</v>
      </c>
      <c r="AJ6" s="30">
        <f>IF(AH6&lt;70180,2.5,0)</f>
        <v>2.5</v>
      </c>
      <c r="AK6" s="30">
        <f>IF(AH6&gt;42108,2.5,0)</f>
        <v>0</v>
      </c>
      <c r="AL6" s="31">
        <f>IF(AJ6+AK6=5,2.5,0)</f>
        <v>0</v>
      </c>
      <c r="AM6" s="30">
        <f>IF(AH6&lt;112288,4,0)</f>
        <v>4</v>
      </c>
      <c r="AN6" s="30">
        <f>IF(AH6&gt;70180,4,0)</f>
        <v>0</v>
      </c>
      <c r="AO6" s="31">
        <f>IF(AM6+AN6=8,4,0)</f>
        <v>0</v>
      </c>
      <c r="AP6" s="30">
        <f>IF(AH6&lt;168432,6,0)</f>
        <v>6</v>
      </c>
      <c r="AQ6" s="30">
        <f>IF(AH6&gt;112288,6,0)</f>
        <v>0</v>
      </c>
      <c r="AR6" s="31">
        <f>IF(AP6+AQ6=12,6,0)</f>
        <v>0</v>
      </c>
      <c r="AS6" s="30">
        <f>AR6+AL6+AI6+AO6</f>
        <v>1.5</v>
      </c>
      <c r="AT6" s="4">
        <f>IF(AS6=1.5,10,0)</f>
        <v>10</v>
      </c>
      <c r="AU6" s="4">
        <f>IF(AS6=2.5,20,0)</f>
        <v>0</v>
      </c>
      <c r="AV6" s="4">
        <f>IF(AS6=4,25,0)</f>
        <v>0</v>
      </c>
      <c r="AW6" s="4">
        <f>IF(AS6=6,35,0)</f>
        <v>0</v>
      </c>
      <c r="AX6" s="4">
        <f>SUM(AT6:AW6)</f>
        <v>10</v>
      </c>
      <c r="AY6" s="4">
        <f>IF(AF6=1,L6,0)</f>
        <v>0</v>
      </c>
      <c r="AZ6" s="4">
        <f>IF(AF6=2,L6,0)</f>
        <v>0</v>
      </c>
      <c r="BA6" s="4">
        <f>IF(AF6=3,L6,0)</f>
        <v>0</v>
      </c>
      <c r="BE6" s="32">
        <f>$D$63</f>
        <v>40</v>
      </c>
      <c r="BF6" s="33">
        <f>$AF$71*BE6*$D$64</f>
        <v>336000</v>
      </c>
      <c r="BG6" s="34">
        <f>IF(BF6&lt;D65*84260,6,0)</f>
        <v>0</v>
      </c>
      <c r="BH6" s="35">
        <f>IF(BF6&gt;D65*56144,6,0)</f>
        <v>6</v>
      </c>
      <c r="BI6" s="36">
        <f>IF(BG6+BH6=12,6,0)</f>
        <v>0</v>
      </c>
      <c r="BJ6" s="35">
        <f>IF(BF6&lt;D65*140360,10,0)</f>
        <v>0</v>
      </c>
      <c r="BK6" s="35">
        <f>IF(BF6&gt;D65*84216,10,0)</f>
        <v>10</v>
      </c>
      <c r="BL6" s="36">
        <f>IF(BJ6+BK6=20,10,0)</f>
        <v>0</v>
      </c>
      <c r="BM6" s="35">
        <f>IF(BF6&lt;D65*224576,16,0)</f>
        <v>16</v>
      </c>
      <c r="BN6" s="35">
        <f>IF(BF6&gt;D65*140360,16,0)</f>
        <v>16</v>
      </c>
      <c r="BO6" s="36">
        <f>IF(BM6+BN6=32,16,0)</f>
        <v>16</v>
      </c>
      <c r="BP6" s="35">
        <f>IF(BF6&lt;D65*350900,25,0)</f>
        <v>25</v>
      </c>
      <c r="BQ6" s="35">
        <f>IF(BF6&gt;D65*224576,25,0)</f>
        <v>0</v>
      </c>
      <c r="BR6" s="36">
        <f>IF(BP6+BQ6=50,25,0)</f>
        <v>0</v>
      </c>
      <c r="BS6" s="34">
        <f>IF(BF6&lt;D65*491260,35,0)</f>
        <v>35</v>
      </c>
      <c r="BT6" s="35">
        <f>IF(BF6&gt;D65*350900,35,0)</f>
        <v>0</v>
      </c>
      <c r="BU6" s="36">
        <f>IF(BS6+BT6=70,35,0)</f>
        <v>0</v>
      </c>
      <c r="BV6" s="35">
        <f>IF(BF6&lt;D65*701800,50,0)</f>
        <v>50</v>
      </c>
      <c r="BW6" s="35">
        <f>IF(BF6&gt;D65*491260,50,0)</f>
        <v>0</v>
      </c>
      <c r="BX6" s="36">
        <f>IF(BV6+BW6=100,50,0)</f>
        <v>0</v>
      </c>
      <c r="BY6" s="35">
        <f>IF(BF6&lt;D65*952520,70,0)</f>
        <v>70</v>
      </c>
      <c r="BZ6" s="35">
        <f>IF(BF6&gt;D65*701800,70,0)</f>
        <v>0</v>
      </c>
      <c r="CA6" s="36">
        <f>IF(BY6+BZ6=140,70,0)</f>
        <v>0</v>
      </c>
      <c r="CB6" s="35">
        <f>IF(BF6&lt;D65*1333420,95,0)</f>
        <v>95</v>
      </c>
      <c r="CC6" s="35">
        <f>IF(BF6&gt;D65*982520,95,0)</f>
        <v>0</v>
      </c>
      <c r="CD6" s="36">
        <f>IF(CB6+CC6=190,95,0)</f>
        <v>0</v>
      </c>
      <c r="CE6" s="35">
        <f>IF(BF6&lt;D65*56144,4,0)</f>
        <v>0</v>
      </c>
      <c r="CF6" s="35">
        <f>IF(BF6&gt;G65*35090,4,0)</f>
        <v>4</v>
      </c>
      <c r="CG6" s="36">
        <f>IF(CE6+CF6=8,4,0)</f>
        <v>0</v>
      </c>
      <c r="CH6" s="36">
        <f>BI6+BL6+BO6+BR6+BU6+BX6+CA6+CD6+CG6</f>
        <v>16</v>
      </c>
      <c r="CI6" s="16">
        <f>IF(CH6=1.5,10,0)</f>
        <v>0</v>
      </c>
      <c r="CJ6" s="16">
        <f>IF(CH6=2.5,20,0)</f>
        <v>0</v>
      </c>
      <c r="CK6" s="16">
        <f>IF(CH6=4,25,0)</f>
        <v>0</v>
      </c>
      <c r="CL6" s="16">
        <f>IF(CH6=6,35,0)</f>
        <v>0</v>
      </c>
      <c r="CM6" s="16">
        <f>SUM(CI6:CL6)</f>
        <v>0</v>
      </c>
      <c r="CN6" s="16">
        <f>IF(BD6=1,AW6,0)</f>
        <v>0</v>
      </c>
      <c r="CO6" s="16">
        <f>IF(BD6=2,AW6,0)</f>
        <v>0</v>
      </c>
      <c r="CP6" s="16">
        <f>IF(BD6=3,AW6,0)</f>
        <v>0</v>
      </c>
      <c r="CQ6" s="23"/>
    </row>
    <row r="7" spans="2:106">
      <c r="B7" s="111">
        <v>1</v>
      </c>
      <c r="C7" s="103"/>
      <c r="D7" s="103"/>
      <c r="E7" s="103"/>
      <c r="F7" s="103">
        <v>6</v>
      </c>
      <c r="G7" s="103"/>
      <c r="H7" s="109"/>
      <c r="I7" s="24"/>
      <c r="J7" s="24"/>
      <c r="K7" s="24">
        <v>3600</v>
      </c>
      <c r="L7" s="25">
        <f>C7*$C$5+D7*$D$5+E7*$E$5+F7*$F$5+G7*$G$5+H7*$H$5</f>
        <v>3600</v>
      </c>
      <c r="M7" s="37">
        <f>AS7</f>
        <v>4</v>
      </c>
      <c r="N7" s="38">
        <f>AX7</f>
        <v>25</v>
      </c>
      <c r="O7" s="27" t="s">
        <v>17</v>
      </c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4">
        <v>3</v>
      </c>
      <c r="AG7" s="105">
        <v>20</v>
      </c>
      <c r="AH7" s="28">
        <f>L7*AG7</f>
        <v>72000</v>
      </c>
      <c r="AI7" s="29">
        <f>IF(AH7&lt;42108,1.5,0)</f>
        <v>0</v>
      </c>
      <c r="AJ7" s="30">
        <f>IF(AH7&lt;70180,2.5,0)</f>
        <v>0</v>
      </c>
      <c r="AK7" s="30">
        <f>IF(AH7&gt;42108,2.5,0)</f>
        <v>2.5</v>
      </c>
      <c r="AL7" s="31">
        <f>IF(AJ7+AK7=5,2.5,0)</f>
        <v>0</v>
      </c>
      <c r="AM7" s="30">
        <f>IF(AH7&lt;112288,4,0)</f>
        <v>4</v>
      </c>
      <c r="AN7" s="30">
        <f>IF(AH7&gt;70180,4,0)</f>
        <v>4</v>
      </c>
      <c r="AO7" s="31">
        <f>IF(AM7+AN7=8,4,0)</f>
        <v>4</v>
      </c>
      <c r="AP7" s="30">
        <f>IF(AH7&lt;168432,6,0)</f>
        <v>6</v>
      </c>
      <c r="AQ7" s="30">
        <f>IF(AH7&gt;112288,6,0)</f>
        <v>0</v>
      </c>
      <c r="AR7" s="31">
        <f>IF(AP7+AQ7=12,6,0)</f>
        <v>0</v>
      </c>
      <c r="AS7" s="30">
        <f>AR7+AL7+AI7+AO7</f>
        <v>4</v>
      </c>
      <c r="AT7" s="4">
        <f>IF(AS7=1.5,10,0)</f>
        <v>0</v>
      </c>
      <c r="AU7" s="4">
        <f>IF(AS7=2.5,20,0)</f>
        <v>0</v>
      </c>
      <c r="AV7" s="4">
        <f>IF(AS7=4,25,0)</f>
        <v>25</v>
      </c>
      <c r="AW7" s="4">
        <f>IF(AS7=6,35,0)</f>
        <v>0</v>
      </c>
      <c r="AX7" s="4">
        <f>SUM(AT7:AW7)</f>
        <v>25</v>
      </c>
      <c r="AY7" s="4">
        <f>IF(AF7=1,L7,0)</f>
        <v>0</v>
      </c>
      <c r="AZ7" s="4">
        <f>IF(AF7=2,L7,0)</f>
        <v>0</v>
      </c>
      <c r="BA7" s="4">
        <f>IF(AF7=3,L7,0)</f>
        <v>3600</v>
      </c>
      <c r="BE7" s="32"/>
      <c r="BF7" s="33"/>
      <c r="BG7" s="34"/>
      <c r="BH7" s="35"/>
      <c r="BI7" s="36"/>
      <c r="BJ7" s="35"/>
      <c r="BK7" s="35"/>
      <c r="BL7" s="36"/>
      <c r="BM7" s="35"/>
      <c r="BN7" s="35"/>
      <c r="BO7" s="36"/>
      <c r="BP7" s="35"/>
      <c r="BQ7" s="35"/>
      <c r="BR7" s="36"/>
      <c r="BS7" s="34"/>
      <c r="BT7" s="35"/>
      <c r="BU7" s="36"/>
      <c r="BV7" s="35"/>
      <c r="BW7" s="35"/>
      <c r="BX7" s="36"/>
      <c r="BY7" s="35"/>
      <c r="BZ7" s="35"/>
      <c r="CA7" s="36"/>
      <c r="CB7" s="35"/>
      <c r="CC7" s="35"/>
      <c r="CD7" s="36"/>
      <c r="CE7" s="36"/>
      <c r="CF7" s="36"/>
      <c r="CG7" s="36"/>
      <c r="CH7" s="36"/>
      <c r="CI7" s="16">
        <f>IF(CH7=1.5,10,0)</f>
        <v>0</v>
      </c>
      <c r="CJ7" s="16">
        <f>IF(CH7=2.5,20,0)</f>
        <v>0</v>
      </c>
      <c r="CK7" s="16">
        <f>IF(CH7=4,25,0)</f>
        <v>0</v>
      </c>
      <c r="CL7" s="16">
        <f>IF(CH7=6,35,0)</f>
        <v>0</v>
      </c>
      <c r="CM7" s="16">
        <f>SUM(CI7:CL7)</f>
        <v>0</v>
      </c>
      <c r="CN7" s="16">
        <f>IF(BD7=1,AW7,0)</f>
        <v>0</v>
      </c>
      <c r="CO7" s="16">
        <f>IF(BD7=2,AW7,0)</f>
        <v>0</v>
      </c>
      <c r="CP7" s="16">
        <f>IF(BD7=3,AW7,0)</f>
        <v>0</v>
      </c>
      <c r="CQ7" s="23"/>
    </row>
    <row r="8" spans="2:106">
      <c r="B8" s="111">
        <v>2</v>
      </c>
      <c r="C8" s="103"/>
      <c r="D8" s="103"/>
      <c r="E8" s="103"/>
      <c r="F8" s="103">
        <v>2</v>
      </c>
      <c r="G8" s="103">
        <v>1</v>
      </c>
      <c r="H8" s="104"/>
      <c r="I8" s="24"/>
      <c r="J8" s="24">
        <v>2800</v>
      </c>
      <c r="K8" s="24"/>
      <c r="L8" s="25">
        <f>C8*$C$5+D8*$D$5+E8*$E$5+F8*$F$5+G8*$G$5+H8*$H$5</f>
        <v>2800</v>
      </c>
      <c r="M8" s="37">
        <f t="shared" ref="M8:M11" si="0">AS8</f>
        <v>4</v>
      </c>
      <c r="N8" s="38">
        <f>AX8</f>
        <v>25</v>
      </c>
      <c r="O8" s="27" t="s">
        <v>16</v>
      </c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4">
        <v>2</v>
      </c>
      <c r="AG8" s="105">
        <v>30</v>
      </c>
      <c r="AH8" s="28">
        <f>L8*AG8</f>
        <v>84000</v>
      </c>
      <c r="AI8" s="29">
        <f>IF(AH8&lt;42108,1.5,0)</f>
        <v>0</v>
      </c>
      <c r="AJ8" s="30">
        <f>IF(AH8&lt;70180,2.5,0)</f>
        <v>0</v>
      </c>
      <c r="AK8" s="30">
        <f>IF(AH8&gt;42108,2.5,0)</f>
        <v>2.5</v>
      </c>
      <c r="AL8" s="31">
        <f>IF(AJ8+AK8=5,2.5,0)</f>
        <v>0</v>
      </c>
      <c r="AM8" s="30">
        <f>IF(AH8&lt;112288,4,0)</f>
        <v>4</v>
      </c>
      <c r="AN8" s="30">
        <f>IF(AH8&gt;70180,4,0)</f>
        <v>4</v>
      </c>
      <c r="AO8" s="31">
        <f>IF(AM8+AN8=8,4,0)</f>
        <v>4</v>
      </c>
      <c r="AP8" s="30">
        <f>IF(AH8&lt;168432,6,0)</f>
        <v>6</v>
      </c>
      <c r="AQ8" s="30">
        <f>IF(AH8&gt;112288,6,0)</f>
        <v>0</v>
      </c>
      <c r="AR8" s="31">
        <f>IF(AP8+AQ8=12,6,0)</f>
        <v>0</v>
      </c>
      <c r="AS8" s="30">
        <f>AR8+AL8+AI8+AO8</f>
        <v>4</v>
      </c>
      <c r="AT8" s="4">
        <f>IF(AS8=1.5,10,0)</f>
        <v>0</v>
      </c>
      <c r="AU8" s="4">
        <f>IF(AS8=2.5,20,0)</f>
        <v>0</v>
      </c>
      <c r="AV8" s="4">
        <f>IF(AS8=4,25,0)</f>
        <v>25</v>
      </c>
      <c r="AW8" s="4">
        <f>IF(AS8=6,35,0)</f>
        <v>0</v>
      </c>
      <c r="AX8" s="4">
        <f>SUM(AT8:AW8)</f>
        <v>25</v>
      </c>
      <c r="AY8" s="4">
        <f>IF(AF8=1,L8,0)</f>
        <v>0</v>
      </c>
      <c r="AZ8" s="4">
        <f>IF(AF8=2,L8,0)</f>
        <v>2800</v>
      </c>
      <c r="BA8" s="4">
        <f>IF(AF8=3,L8,0)</f>
        <v>0</v>
      </c>
      <c r="BE8" s="32"/>
      <c r="BF8" s="39" t="s">
        <v>56</v>
      </c>
      <c r="BG8" s="34"/>
      <c r="BH8" s="35"/>
      <c r="BI8" s="36"/>
      <c r="BJ8" s="35"/>
      <c r="BK8" s="35"/>
      <c r="BL8" s="36"/>
      <c r="BM8" s="35"/>
      <c r="BN8" s="35"/>
      <c r="BO8" s="36"/>
      <c r="BP8" s="35"/>
      <c r="BQ8" s="35"/>
      <c r="BR8" s="36"/>
      <c r="BS8" s="34"/>
      <c r="BT8" s="35"/>
      <c r="BU8" s="36"/>
      <c r="BV8" s="35"/>
      <c r="BW8" s="35"/>
      <c r="BX8" s="36"/>
      <c r="BY8" s="35"/>
      <c r="BZ8" s="35"/>
      <c r="CA8" s="36"/>
      <c r="CB8" s="35"/>
      <c r="CC8" s="35"/>
      <c r="CD8" s="36"/>
      <c r="CE8" s="36"/>
      <c r="CF8" s="36"/>
      <c r="CG8" s="36"/>
      <c r="CH8" s="36"/>
      <c r="CI8" s="16">
        <f>IF(CH8=1.5,10,0)</f>
        <v>0</v>
      </c>
      <c r="CJ8" s="16">
        <f>IF(CH8=2.5,20,0)</f>
        <v>0</v>
      </c>
      <c r="CK8" s="16">
        <f>IF(CH8=4,25,0)</f>
        <v>0</v>
      </c>
      <c r="CL8" s="16">
        <f>IF(CH8=6,35,0)</f>
        <v>0</v>
      </c>
      <c r="CM8" s="16">
        <f>SUM(CI8:CL8)</f>
        <v>0</v>
      </c>
      <c r="CN8" s="16">
        <f>IF(BD8=1,AW8,0)</f>
        <v>0</v>
      </c>
      <c r="CO8" s="16">
        <f>IF(BD8=2,AW8,0)</f>
        <v>0</v>
      </c>
      <c r="CP8" s="16">
        <f>IF(BD8=3,AW8,0)</f>
        <v>0</v>
      </c>
      <c r="CQ8" s="23"/>
    </row>
    <row r="9" spans="2:106">
      <c r="B9" s="111">
        <v>3</v>
      </c>
      <c r="C9" s="103"/>
      <c r="D9" s="103"/>
      <c r="E9" s="103"/>
      <c r="F9" s="103">
        <v>2</v>
      </c>
      <c r="G9" s="103">
        <v>1</v>
      </c>
      <c r="H9" s="104"/>
      <c r="I9" s="24"/>
      <c r="J9" s="24"/>
      <c r="K9" s="24">
        <v>2800</v>
      </c>
      <c r="L9" s="25">
        <f>C9*$C$5+D9*$D$5+E9*$E$5+F9*$F$5+G9*$G$5+H9*$H$5</f>
        <v>2800</v>
      </c>
      <c r="M9" s="37">
        <f t="shared" si="0"/>
        <v>4</v>
      </c>
      <c r="N9" s="38">
        <f>AX9</f>
        <v>25</v>
      </c>
      <c r="O9" s="27" t="s">
        <v>17</v>
      </c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6">
        <v>3</v>
      </c>
      <c r="AG9" s="105">
        <v>30</v>
      </c>
      <c r="AH9" s="28">
        <f>L9*AG9</f>
        <v>84000</v>
      </c>
      <c r="AI9" s="29">
        <f>IF(AH9&lt;42108,1.5,0)</f>
        <v>0</v>
      </c>
      <c r="AJ9" s="30">
        <f>IF(AH9&lt;70180,2.5,0)</f>
        <v>0</v>
      </c>
      <c r="AK9" s="30">
        <f>IF(AH9&gt;42108,2.5,0)</f>
        <v>2.5</v>
      </c>
      <c r="AL9" s="31">
        <f>IF(AJ9+AK9=5,2.5,0)</f>
        <v>0</v>
      </c>
      <c r="AM9" s="30">
        <f>IF(AH9&lt;112288,4,0)</f>
        <v>4</v>
      </c>
      <c r="AN9" s="30">
        <f>IF(AH9&gt;70180,4,0)</f>
        <v>4</v>
      </c>
      <c r="AO9" s="31">
        <f>IF(AM9+AN9=8,4,0)</f>
        <v>4</v>
      </c>
      <c r="AP9" s="30">
        <f>IF(AH9&lt;168432,6,0)</f>
        <v>6</v>
      </c>
      <c r="AQ9" s="30">
        <f>IF(AH9&gt;112288,6,0)</f>
        <v>0</v>
      </c>
      <c r="AR9" s="31">
        <f>IF(AP9+AQ9=12,6,0)</f>
        <v>0</v>
      </c>
      <c r="AS9" s="30">
        <f>AR9+AL9+AI9+AO9</f>
        <v>4</v>
      </c>
      <c r="AT9" s="4">
        <f>IF(AS9=1.5,10,0)</f>
        <v>0</v>
      </c>
      <c r="AU9" s="4">
        <f>IF(AS9=2.5,20,0)</f>
        <v>0</v>
      </c>
      <c r="AV9" s="4">
        <f>IF(AS9=4,25,0)</f>
        <v>25</v>
      </c>
      <c r="AW9" s="4">
        <f>IF(AS9=6,35,0)</f>
        <v>0</v>
      </c>
      <c r="AX9" s="4">
        <f>SUM(AT9:AW9)</f>
        <v>25</v>
      </c>
      <c r="AY9" s="4">
        <f>IF(AF9=1,L9,0)</f>
        <v>0</v>
      </c>
      <c r="AZ9" s="4">
        <f>IF(AF9=2,L9,0)</f>
        <v>0</v>
      </c>
      <c r="BA9" s="4">
        <f>IF(AF9=3,L9,0)</f>
        <v>2800</v>
      </c>
      <c r="BE9" s="32"/>
      <c r="BF9" s="40">
        <f>C69</f>
        <v>30.436363636363634</v>
      </c>
      <c r="BG9" s="34">
        <f>IF(BF9&lt;=40,6,0)</f>
        <v>6</v>
      </c>
      <c r="BH9" s="35">
        <f>IF(BF9&gt;=30,6,0)</f>
        <v>6</v>
      </c>
      <c r="BI9" s="36">
        <f>IF(BG9+BH9=12,6,0)</f>
        <v>6</v>
      </c>
      <c r="BJ9" s="35">
        <f>IF(BF9&lt;=55,10,0)</f>
        <v>10</v>
      </c>
      <c r="BK9" s="35">
        <f>IF(BF9&gt;40,10,0)</f>
        <v>0</v>
      </c>
      <c r="BL9" s="36">
        <f>IF(BJ9+BK9=20,10,0)</f>
        <v>0</v>
      </c>
      <c r="BM9" s="35">
        <f>IF(BF9&lt;=70,16,0)</f>
        <v>16</v>
      </c>
      <c r="BN9" s="35">
        <f>IF(BF9&gt;55,16,0)</f>
        <v>0</v>
      </c>
      <c r="BO9" s="36">
        <f>IF(BM9+BN9=32,16,0)</f>
        <v>0</v>
      </c>
      <c r="BP9" s="35">
        <f>IF(BF9&lt;=95,25,0)</f>
        <v>25</v>
      </c>
      <c r="BQ9" s="35">
        <f>IF(BF9&gt;70,25,0)</f>
        <v>0</v>
      </c>
      <c r="BR9" s="36">
        <f>IF(BP9+BQ9=50,25,0)</f>
        <v>0</v>
      </c>
      <c r="BS9" s="34">
        <f>IF(BF9&lt;=110,35,0)</f>
        <v>35</v>
      </c>
      <c r="BT9" s="35">
        <f>IF(BF9&gt;95,35,0)</f>
        <v>0</v>
      </c>
      <c r="BU9" s="36">
        <f>IF(BS9+BT9=70,35,0)</f>
        <v>0</v>
      </c>
      <c r="BV9" s="35">
        <f>IF(BF9&lt;=145,50,0)</f>
        <v>50</v>
      </c>
      <c r="BW9" s="35">
        <f>IF(BF9&gt;110,50,0)</f>
        <v>0</v>
      </c>
      <c r="BX9" s="36">
        <f>IF(BV9+BW9=100,50,0)</f>
        <v>0</v>
      </c>
      <c r="BY9" s="35">
        <f>IF(BF9&lt;=165,70,0)</f>
        <v>70</v>
      </c>
      <c r="BZ9" s="35">
        <f>IF(BF9&gt;145,70,0)</f>
        <v>0</v>
      </c>
      <c r="CA9" s="36">
        <f>IF(BY9+BZ9=140,70,0)</f>
        <v>0</v>
      </c>
      <c r="CB9" s="35">
        <f>IF(BF9&lt;=195,95,0)</f>
        <v>95</v>
      </c>
      <c r="CC9" s="35">
        <f>IF(BF9&gt;165,95,0)</f>
        <v>0</v>
      </c>
      <c r="CD9" s="36">
        <f>IF(CB9+CC9=190,95,0)</f>
        <v>0</v>
      </c>
      <c r="CE9" s="35">
        <f>IF(BF9&lt;=30,4,0)</f>
        <v>0</v>
      </c>
      <c r="CF9" s="35"/>
      <c r="CG9" s="36">
        <f>IF(CE9=4,4,0)</f>
        <v>0</v>
      </c>
      <c r="CH9" s="36">
        <f>BI9+BL9+BO9+BR9+BU9+BX9+CA9+CD9+CG9</f>
        <v>6</v>
      </c>
      <c r="CI9" s="16">
        <f>IF(CH9=1.5,10,0)</f>
        <v>0</v>
      </c>
      <c r="CJ9" s="16">
        <f>IF(CH9=2.5,20,0)</f>
        <v>0</v>
      </c>
      <c r="CK9" s="16">
        <f>IF(CH9=4,25,0)</f>
        <v>0</v>
      </c>
      <c r="CL9" s="16">
        <f>IF(CH9=6,35,0)</f>
        <v>35</v>
      </c>
      <c r="CM9" s="16">
        <f>SUM(CI9:CL9)</f>
        <v>35</v>
      </c>
      <c r="CN9" s="16">
        <f>IF(BD9=1,AW9,0)</f>
        <v>0</v>
      </c>
      <c r="CO9" s="16">
        <f>IF(BD9=2,AW9,0)</f>
        <v>0</v>
      </c>
      <c r="CP9" s="16">
        <f>IF(BD9=3,AW9,0)</f>
        <v>0</v>
      </c>
      <c r="CQ9" s="23"/>
    </row>
    <row r="10" spans="2:106">
      <c r="B10" s="111">
        <v>4</v>
      </c>
      <c r="C10" s="103"/>
      <c r="D10" s="103"/>
      <c r="E10" s="103"/>
      <c r="F10" s="103">
        <v>2</v>
      </c>
      <c r="G10" s="103">
        <v>1</v>
      </c>
      <c r="H10" s="104"/>
      <c r="I10" s="24"/>
      <c r="J10" s="24">
        <v>2800</v>
      </c>
      <c r="K10" s="24"/>
      <c r="L10" s="25">
        <f t="shared" ref="L10:L20" si="1">C10*$C$5+D10*$D$5+E10*$E$5+F10*$F$5+G10*$G$5+H10*$H$5</f>
        <v>2800</v>
      </c>
      <c r="M10" s="37">
        <f t="shared" si="0"/>
        <v>4</v>
      </c>
      <c r="N10" s="38">
        <f t="shared" ref="N10:N20" si="2">AX10</f>
        <v>25</v>
      </c>
      <c r="O10" s="27" t="s">
        <v>16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6">
        <v>2</v>
      </c>
      <c r="AG10" s="105">
        <v>30</v>
      </c>
      <c r="AH10" s="28">
        <f t="shared" ref="AH10:AH20" si="3">L10*AG10</f>
        <v>84000</v>
      </c>
      <c r="AI10" s="29">
        <f t="shared" ref="AI10:AI20" si="4">IF(AH10&lt;42108,1.5,0)</f>
        <v>0</v>
      </c>
      <c r="AJ10" s="30">
        <f t="shared" ref="AJ10:AJ20" si="5">IF(AH10&lt;70180,2.5,0)</f>
        <v>0</v>
      </c>
      <c r="AK10" s="30">
        <f t="shared" ref="AK10:AK20" si="6">IF(AH10&gt;42108,2.5,0)</f>
        <v>2.5</v>
      </c>
      <c r="AL10" s="31">
        <f t="shared" ref="AL10:AL20" si="7">IF(AJ10+AK10=5,2.5,0)</f>
        <v>0</v>
      </c>
      <c r="AM10" s="30">
        <f t="shared" ref="AM10:AM20" si="8">IF(AH10&lt;112288,4,0)</f>
        <v>4</v>
      </c>
      <c r="AN10" s="30">
        <f t="shared" ref="AN10:AN20" si="9">IF(AH10&gt;70180,4,0)</f>
        <v>4</v>
      </c>
      <c r="AO10" s="31">
        <f t="shared" ref="AO10:AO20" si="10">IF(AM10+AN10=8,4,0)</f>
        <v>4</v>
      </c>
      <c r="AP10" s="30">
        <f t="shared" ref="AP10:AP20" si="11">IF(AH10&lt;168432,6,0)</f>
        <v>6</v>
      </c>
      <c r="AQ10" s="30">
        <f t="shared" ref="AQ10:AQ20" si="12">IF(AH10&gt;112288,6,0)</f>
        <v>0</v>
      </c>
      <c r="AR10" s="31">
        <f t="shared" ref="AR10:AR20" si="13">IF(AP10+AQ10=12,6,0)</f>
        <v>0</v>
      </c>
      <c r="AS10" s="30">
        <f t="shared" ref="AS10:AS20" si="14">AR10+AL10+AI10+AO10</f>
        <v>4</v>
      </c>
      <c r="AT10" s="4">
        <f t="shared" ref="AT10:AT20" si="15">IF(AS10=1.5,10,0)</f>
        <v>0</v>
      </c>
      <c r="AU10" s="4">
        <f t="shared" ref="AU10:AU20" si="16">IF(AS10=2.5,20,0)</f>
        <v>0</v>
      </c>
      <c r="AV10" s="4">
        <f t="shared" ref="AV10:AV20" si="17">IF(AS10=4,25,0)</f>
        <v>25</v>
      </c>
      <c r="AW10" s="4">
        <f t="shared" ref="AW10:AW20" si="18">IF(AS10=6,35,0)</f>
        <v>0</v>
      </c>
      <c r="AX10" s="4">
        <f t="shared" ref="AX10:AX20" si="19">SUM(AT10:AW10)</f>
        <v>25</v>
      </c>
      <c r="AY10" s="4">
        <f t="shared" ref="AY10:AY20" si="20">IF(AF10=1,L10,0)</f>
        <v>0</v>
      </c>
      <c r="AZ10" s="4">
        <f t="shared" ref="AZ10:AZ20" si="21">IF(AF10=2,L10,0)</f>
        <v>2800</v>
      </c>
      <c r="BA10" s="4">
        <f t="shared" ref="BA10:BA20" si="22">IF(AF10=3,L10,0)</f>
        <v>0</v>
      </c>
      <c r="BE10" s="41"/>
      <c r="BF10" s="33"/>
      <c r="BG10" s="34"/>
      <c r="BH10" s="35"/>
      <c r="BI10" s="36"/>
      <c r="BJ10" s="35"/>
      <c r="BK10" s="35"/>
      <c r="BL10" s="36"/>
      <c r="BM10" s="35"/>
      <c r="BN10" s="35"/>
      <c r="BO10" s="36"/>
      <c r="BP10" s="35"/>
      <c r="BQ10" s="35"/>
      <c r="BR10" s="36"/>
      <c r="BS10" s="34"/>
      <c r="BT10" s="35"/>
      <c r="BU10" s="36"/>
      <c r="BV10" s="35"/>
      <c r="BW10" s="35"/>
      <c r="BX10" s="36"/>
      <c r="BY10" s="35"/>
      <c r="BZ10" s="35"/>
      <c r="CA10" s="36"/>
      <c r="CB10" s="35"/>
      <c r="CC10" s="35"/>
      <c r="CD10" s="36"/>
      <c r="CE10" s="36"/>
      <c r="CF10" s="36"/>
      <c r="CG10" s="36"/>
      <c r="CH10" s="36"/>
      <c r="CI10" s="16">
        <f t="shared" ref="CI10:CI20" si="23">IF(CH10=1.5,10,0)</f>
        <v>0</v>
      </c>
      <c r="CJ10" s="16">
        <f t="shared" ref="CJ10:CJ20" si="24">IF(CH10=2.5,20,0)</f>
        <v>0</v>
      </c>
      <c r="CK10" s="16">
        <f t="shared" ref="CK10:CK20" si="25">IF(CH10=4,25,0)</f>
        <v>0</v>
      </c>
      <c r="CL10" s="16">
        <f t="shared" ref="CL10:CL20" si="26">IF(CH10=6,35,0)</f>
        <v>0</v>
      </c>
      <c r="CM10" s="16">
        <f t="shared" ref="CM10:CM20" si="27">SUM(CI10:CL10)</f>
        <v>0</v>
      </c>
      <c r="CN10" s="16">
        <f t="shared" ref="CN10:CN20" si="28">IF(BD10=1,AW10,0)</f>
        <v>0</v>
      </c>
      <c r="CO10" s="16">
        <f t="shared" ref="CO10:CO20" si="29">IF(BD10=2,AW10,0)</f>
        <v>0</v>
      </c>
      <c r="CP10" s="16">
        <f t="shared" ref="CP10:CP20" si="30">IF(BD10=3,AW10,0)</f>
        <v>0</v>
      </c>
      <c r="CQ10" s="23"/>
    </row>
    <row r="11" spans="2:106" ht="13.5" thickBot="1">
      <c r="B11" s="111">
        <v>5</v>
      </c>
      <c r="C11" s="103"/>
      <c r="D11" s="103"/>
      <c r="E11" s="103"/>
      <c r="F11" s="103"/>
      <c r="G11" s="103"/>
      <c r="H11" s="104">
        <v>1</v>
      </c>
      <c r="I11" s="24">
        <v>1400</v>
      </c>
      <c r="J11" s="24">
        <v>1400</v>
      </c>
      <c r="K11" s="24">
        <v>1400</v>
      </c>
      <c r="L11" s="25">
        <f t="shared" si="1"/>
        <v>4200</v>
      </c>
      <c r="M11" s="37">
        <f t="shared" si="0"/>
        <v>4</v>
      </c>
      <c r="N11" s="38">
        <f t="shared" si="2"/>
        <v>25</v>
      </c>
      <c r="O11" s="27" t="s">
        <v>18</v>
      </c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6">
        <v>2</v>
      </c>
      <c r="AG11" s="105">
        <v>20</v>
      </c>
      <c r="AH11" s="28">
        <f t="shared" si="3"/>
        <v>84000</v>
      </c>
      <c r="AI11" s="29">
        <f t="shared" si="4"/>
        <v>0</v>
      </c>
      <c r="AJ11" s="30">
        <f t="shared" si="5"/>
        <v>0</v>
      </c>
      <c r="AK11" s="30">
        <f t="shared" si="6"/>
        <v>2.5</v>
      </c>
      <c r="AL11" s="31">
        <f t="shared" si="7"/>
        <v>0</v>
      </c>
      <c r="AM11" s="30">
        <f t="shared" si="8"/>
        <v>4</v>
      </c>
      <c r="AN11" s="30">
        <f t="shared" si="9"/>
        <v>4</v>
      </c>
      <c r="AO11" s="31">
        <f t="shared" si="10"/>
        <v>4</v>
      </c>
      <c r="AP11" s="30">
        <f t="shared" si="11"/>
        <v>6</v>
      </c>
      <c r="AQ11" s="30">
        <f t="shared" si="12"/>
        <v>0</v>
      </c>
      <c r="AR11" s="31">
        <f t="shared" si="13"/>
        <v>0</v>
      </c>
      <c r="AS11" s="30">
        <f t="shared" si="14"/>
        <v>4</v>
      </c>
      <c r="AT11" s="4">
        <f t="shared" si="15"/>
        <v>0</v>
      </c>
      <c r="AU11" s="4">
        <f t="shared" si="16"/>
        <v>0</v>
      </c>
      <c r="AV11" s="4">
        <f t="shared" si="17"/>
        <v>25</v>
      </c>
      <c r="AW11" s="4">
        <f t="shared" si="18"/>
        <v>0</v>
      </c>
      <c r="AX11" s="4">
        <f t="shared" si="19"/>
        <v>25</v>
      </c>
      <c r="AY11" s="4">
        <f t="shared" si="20"/>
        <v>0</v>
      </c>
      <c r="AZ11" s="4">
        <f t="shared" si="21"/>
        <v>4200</v>
      </c>
      <c r="BA11" s="4">
        <f t="shared" si="22"/>
        <v>0</v>
      </c>
      <c r="BE11" s="32"/>
      <c r="BF11" s="42" t="s">
        <v>61</v>
      </c>
      <c r="BG11" s="34"/>
      <c r="BH11" s="35"/>
      <c r="BI11" s="36"/>
      <c r="BJ11" s="35"/>
      <c r="BK11" s="35"/>
      <c r="BL11" s="36"/>
      <c r="BM11" s="35"/>
      <c r="BN11" s="35"/>
      <c r="BO11" s="36"/>
      <c r="BP11" s="35"/>
      <c r="BQ11" s="35"/>
      <c r="BR11" s="36"/>
      <c r="BS11" s="34"/>
      <c r="BT11" s="35"/>
      <c r="BU11" s="36"/>
      <c r="BV11" s="35"/>
      <c r="BW11" s="35"/>
      <c r="BX11" s="36"/>
      <c r="BY11" s="35"/>
      <c r="BZ11" s="35"/>
      <c r="CA11" s="36"/>
      <c r="CB11" s="35"/>
      <c r="CC11" s="35"/>
      <c r="CD11" s="36"/>
      <c r="CE11" s="36"/>
      <c r="CF11" s="36"/>
      <c r="CG11" s="36"/>
      <c r="CH11" s="36"/>
      <c r="CI11" s="16">
        <f t="shared" si="23"/>
        <v>0</v>
      </c>
      <c r="CJ11" s="16">
        <f t="shared" si="24"/>
        <v>0</v>
      </c>
      <c r="CK11" s="16">
        <f t="shared" si="25"/>
        <v>0</v>
      </c>
      <c r="CL11" s="16">
        <f t="shared" si="26"/>
        <v>0</v>
      </c>
      <c r="CM11" s="16">
        <f t="shared" si="27"/>
        <v>0</v>
      </c>
      <c r="CN11" s="16">
        <f t="shared" si="28"/>
        <v>0</v>
      </c>
      <c r="CO11" s="16">
        <f t="shared" si="29"/>
        <v>0</v>
      </c>
      <c r="CP11" s="16">
        <f t="shared" si="30"/>
        <v>0</v>
      </c>
      <c r="CQ11" s="23"/>
    </row>
    <row r="12" spans="2:106">
      <c r="B12" s="111">
        <v>6</v>
      </c>
      <c r="C12" s="103">
        <v>12</v>
      </c>
      <c r="D12" s="103"/>
      <c r="E12" s="103"/>
      <c r="F12" s="103"/>
      <c r="G12" s="103"/>
      <c r="H12" s="104"/>
      <c r="I12" s="24">
        <v>480</v>
      </c>
      <c r="J12" s="24"/>
      <c r="K12" s="24"/>
      <c r="L12" s="25">
        <f t="shared" si="1"/>
        <v>480</v>
      </c>
      <c r="M12" s="37">
        <f t="shared" ref="M12:M20" si="31">AS12</f>
        <v>1.5</v>
      </c>
      <c r="N12" s="38">
        <f t="shared" si="2"/>
        <v>10</v>
      </c>
      <c r="O12" s="27" t="s">
        <v>29</v>
      </c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6">
        <v>1</v>
      </c>
      <c r="AG12" s="105">
        <v>30</v>
      </c>
      <c r="AH12" s="28">
        <f t="shared" si="3"/>
        <v>14400</v>
      </c>
      <c r="AI12" s="29">
        <f t="shared" si="4"/>
        <v>1.5</v>
      </c>
      <c r="AJ12" s="30">
        <f t="shared" si="5"/>
        <v>2.5</v>
      </c>
      <c r="AK12" s="30">
        <f t="shared" si="6"/>
        <v>0</v>
      </c>
      <c r="AL12" s="31">
        <f t="shared" si="7"/>
        <v>0</v>
      </c>
      <c r="AM12" s="30">
        <f t="shared" si="8"/>
        <v>4</v>
      </c>
      <c r="AN12" s="30">
        <f t="shared" si="9"/>
        <v>0</v>
      </c>
      <c r="AO12" s="31">
        <f t="shared" si="10"/>
        <v>0</v>
      </c>
      <c r="AP12" s="30">
        <f t="shared" si="11"/>
        <v>6</v>
      </c>
      <c r="AQ12" s="30">
        <f t="shared" si="12"/>
        <v>0</v>
      </c>
      <c r="AR12" s="31">
        <f t="shared" si="13"/>
        <v>0</v>
      </c>
      <c r="AS12" s="30">
        <f t="shared" si="14"/>
        <v>1.5</v>
      </c>
      <c r="AT12" s="4">
        <f t="shared" si="15"/>
        <v>10</v>
      </c>
      <c r="AU12" s="4">
        <f t="shared" si="16"/>
        <v>0</v>
      </c>
      <c r="AV12" s="4">
        <f t="shared" si="17"/>
        <v>0</v>
      </c>
      <c r="AW12" s="4">
        <f t="shared" si="18"/>
        <v>0</v>
      </c>
      <c r="AX12" s="4">
        <f t="shared" si="19"/>
        <v>10</v>
      </c>
      <c r="AY12" s="4">
        <f t="shared" si="20"/>
        <v>480</v>
      </c>
      <c r="AZ12" s="4">
        <f t="shared" si="21"/>
        <v>0</v>
      </c>
      <c r="BA12" s="4">
        <f t="shared" si="22"/>
        <v>0</v>
      </c>
      <c r="BD12" s="43"/>
      <c r="BE12" s="32"/>
      <c r="BF12" s="44"/>
      <c r="BG12" s="45" t="s">
        <v>62</v>
      </c>
      <c r="BH12" s="46"/>
      <c r="BI12" s="47"/>
      <c r="BJ12" s="48"/>
      <c r="BK12" s="49" t="s">
        <v>67</v>
      </c>
      <c r="BL12" s="47"/>
      <c r="BM12" s="48"/>
      <c r="BN12" s="49" t="s">
        <v>63</v>
      </c>
      <c r="BO12" s="47"/>
      <c r="BP12" s="48"/>
      <c r="BQ12" s="50" t="s">
        <v>64</v>
      </c>
      <c r="BR12" s="47"/>
      <c r="BS12" s="51"/>
      <c r="BT12" s="50" t="s">
        <v>65</v>
      </c>
      <c r="BU12" s="47"/>
      <c r="BV12" s="48"/>
      <c r="BW12" s="50" t="s">
        <v>66</v>
      </c>
      <c r="BX12" s="47"/>
      <c r="BY12" s="35"/>
      <c r="BZ12" s="35"/>
      <c r="CA12" s="36"/>
      <c r="CB12" s="35"/>
      <c r="CC12" s="35"/>
      <c r="CD12" s="36"/>
      <c r="CE12" s="36"/>
      <c r="CF12" s="36"/>
      <c r="CG12" s="36"/>
      <c r="CH12" s="36"/>
      <c r="CI12" s="16">
        <f t="shared" si="23"/>
        <v>0</v>
      </c>
      <c r="CJ12" s="16">
        <f t="shared" si="24"/>
        <v>0</v>
      </c>
      <c r="CK12" s="16">
        <f t="shared" si="25"/>
        <v>0</v>
      </c>
      <c r="CL12" s="16">
        <f t="shared" si="26"/>
        <v>0</v>
      </c>
      <c r="CM12" s="16">
        <f t="shared" si="27"/>
        <v>0</v>
      </c>
      <c r="CN12" s="16">
        <f t="shared" si="28"/>
        <v>0</v>
      </c>
      <c r="CO12" s="16">
        <f t="shared" si="29"/>
        <v>0</v>
      </c>
      <c r="CP12" s="16">
        <f t="shared" si="30"/>
        <v>0</v>
      </c>
      <c r="CQ12" s="23"/>
      <c r="CX12" s="52"/>
      <c r="CY12" s="52"/>
      <c r="CZ12" s="52"/>
    </row>
    <row r="13" spans="2:106" ht="13.5" thickBot="1">
      <c r="B13" s="111">
        <v>7</v>
      </c>
      <c r="C13" s="103"/>
      <c r="D13" s="103"/>
      <c r="E13" s="103"/>
      <c r="F13" s="103"/>
      <c r="G13" s="103"/>
      <c r="H13" s="104">
        <v>1</v>
      </c>
      <c r="I13" s="24">
        <v>4200</v>
      </c>
      <c r="J13" s="24"/>
      <c r="K13" s="24"/>
      <c r="L13" s="25">
        <f t="shared" si="1"/>
        <v>4200</v>
      </c>
      <c r="M13" s="37">
        <f t="shared" si="31"/>
        <v>4</v>
      </c>
      <c r="N13" s="38">
        <f t="shared" si="2"/>
        <v>25</v>
      </c>
      <c r="O13" s="27" t="s">
        <v>29</v>
      </c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6">
        <v>1</v>
      </c>
      <c r="AG13" s="105">
        <v>20</v>
      </c>
      <c r="AH13" s="28">
        <f t="shared" si="3"/>
        <v>84000</v>
      </c>
      <c r="AI13" s="29">
        <f t="shared" si="4"/>
        <v>0</v>
      </c>
      <c r="AJ13" s="30">
        <f t="shared" si="5"/>
        <v>0</v>
      </c>
      <c r="AK13" s="30">
        <f t="shared" si="6"/>
        <v>2.5</v>
      </c>
      <c r="AL13" s="31">
        <f t="shared" si="7"/>
        <v>0</v>
      </c>
      <c r="AM13" s="30">
        <f t="shared" si="8"/>
        <v>4</v>
      </c>
      <c r="AN13" s="30">
        <f t="shared" si="9"/>
        <v>4</v>
      </c>
      <c r="AO13" s="31">
        <f t="shared" si="10"/>
        <v>4</v>
      </c>
      <c r="AP13" s="30">
        <f t="shared" si="11"/>
        <v>6</v>
      </c>
      <c r="AQ13" s="30">
        <f t="shared" si="12"/>
        <v>0</v>
      </c>
      <c r="AR13" s="31">
        <f t="shared" si="13"/>
        <v>0</v>
      </c>
      <c r="AS13" s="30">
        <f t="shared" si="14"/>
        <v>4</v>
      </c>
      <c r="AT13" s="4">
        <f t="shared" si="15"/>
        <v>0</v>
      </c>
      <c r="AU13" s="4">
        <f t="shared" si="16"/>
        <v>0</v>
      </c>
      <c r="AV13" s="4">
        <f t="shared" si="17"/>
        <v>25</v>
      </c>
      <c r="AW13" s="4">
        <f t="shared" si="18"/>
        <v>0</v>
      </c>
      <c r="AX13" s="4">
        <f t="shared" si="19"/>
        <v>25</v>
      </c>
      <c r="AY13" s="4">
        <f t="shared" si="20"/>
        <v>4200</v>
      </c>
      <c r="AZ13" s="4">
        <f t="shared" si="21"/>
        <v>0</v>
      </c>
      <c r="BA13" s="4">
        <f t="shared" si="22"/>
        <v>0</v>
      </c>
      <c r="BD13" s="102">
        <f>AF71</f>
        <v>14000</v>
      </c>
      <c r="BE13" s="53"/>
      <c r="BF13" s="53" t="e">
        <f>$BD$13-(#REF!)-9000</f>
        <v>#REF!</v>
      </c>
      <c r="BG13" s="34" t="e">
        <f>IF(BF13&lt;=1000,BF13*0.86,0)</f>
        <v>#REF!</v>
      </c>
      <c r="BH13" s="54"/>
      <c r="BI13" s="36" t="e">
        <f>IF(CZ13&gt;=0,BG13,0)</f>
        <v>#REF!</v>
      </c>
      <c r="BJ13" s="55">
        <f>IF(BD13&lt;=3000,BD13,0)</f>
        <v>0</v>
      </c>
      <c r="BK13" s="55">
        <f>IF(BD13&gt;3000,3000,0)</f>
        <v>3000</v>
      </c>
      <c r="BL13" s="56">
        <f>BJ13+BK13</f>
        <v>3000</v>
      </c>
      <c r="BM13" s="55">
        <f>IF(BD13&lt;=20000,BD13,0)</f>
        <v>14000</v>
      </c>
      <c r="BN13" s="55">
        <f>IF(BD13&gt;20000,20000,0)</f>
        <v>0</v>
      </c>
      <c r="BO13" s="56">
        <f>BM13+BN13</f>
        <v>14000</v>
      </c>
      <c r="BP13" s="55">
        <f>IF(BD13&lt;=15000,BD13,0)</f>
        <v>14000</v>
      </c>
      <c r="BQ13" s="55">
        <f>IF(BD13&gt;15000,15000,0)</f>
        <v>0</v>
      </c>
      <c r="BR13" s="56">
        <f>BP13+BQ13</f>
        <v>14000</v>
      </c>
      <c r="BS13" s="55">
        <f>IF(BD13&lt;=20000,BD13*0.5,0)</f>
        <v>7000</v>
      </c>
      <c r="BT13" s="55">
        <f>IF(BD13&gt;20000,20000,0)</f>
        <v>0</v>
      </c>
      <c r="BU13" s="56">
        <f>BS13+BT13</f>
        <v>7000</v>
      </c>
      <c r="BV13" s="55">
        <f>IF(BD13&lt;=50000,BD13*0.4,0)</f>
        <v>5600</v>
      </c>
      <c r="BW13" s="55">
        <f>IF(BD13&gt;50000,20000,0)</f>
        <v>0</v>
      </c>
      <c r="BX13" s="56">
        <f>BV13+BW13</f>
        <v>5600</v>
      </c>
      <c r="BY13" s="35" t="e">
        <f>IF(BF13&lt;D72*952520,70,0)</f>
        <v>#REF!</v>
      </c>
      <c r="BZ13" s="35" t="e">
        <f>IF(BF13&gt;D72*701800,70,0)</f>
        <v>#REF!</v>
      </c>
      <c r="CA13" s="36" t="e">
        <f>IF(BY13+BZ13=140,70,0)</f>
        <v>#REF!</v>
      </c>
      <c r="CB13" s="35" t="e">
        <f>IF(BF13&lt;D72*1333420,95,0)</f>
        <v>#REF!</v>
      </c>
      <c r="CC13" s="35" t="e">
        <f>IF(BF13&gt;D72*982520,95,0)</f>
        <v>#REF!</v>
      </c>
      <c r="CD13" s="36" t="e">
        <f>IF(CB13+CC13=190,95,0)</f>
        <v>#REF!</v>
      </c>
      <c r="CE13" s="36"/>
      <c r="CF13" s="36"/>
      <c r="CG13" s="36"/>
      <c r="CH13" s="36" t="e">
        <f>BI13+BL13+BO13+BR13+BU13+BX13+CA13+CD13</f>
        <v>#REF!</v>
      </c>
      <c r="CI13" s="16" t="e">
        <f>IF(CH13=1.5,10,0)</f>
        <v>#REF!</v>
      </c>
      <c r="CJ13" s="16" t="e">
        <f>IF(CH13=2.5,20,0)</f>
        <v>#REF!</v>
      </c>
      <c r="CK13" s="16" t="e">
        <f>IF(CH13=4,25,0)</f>
        <v>#REF!</v>
      </c>
      <c r="CL13" s="16" t="e">
        <f>IF(CH13=6,35,0)</f>
        <v>#REF!</v>
      </c>
      <c r="CM13" s="16" t="e">
        <f>SUM(CI13:CL13)</f>
        <v>#REF!</v>
      </c>
      <c r="CN13" s="16">
        <f>IF(BD13=1,AW13,0)</f>
        <v>0</v>
      </c>
      <c r="CO13" s="16">
        <f>IF(BD13=2,AW13,0)</f>
        <v>0</v>
      </c>
      <c r="CP13" s="16">
        <f>IF(BD13=3,AW13,0)</f>
        <v>0</v>
      </c>
      <c r="CQ13" s="23"/>
      <c r="CS13" s="4">
        <f>BD13</f>
        <v>14000</v>
      </c>
      <c r="CZ13" s="4">
        <f>CS13</f>
        <v>14000</v>
      </c>
    </row>
    <row r="14" spans="2:106" ht="13.5" thickBot="1">
      <c r="B14" s="111">
        <v>8</v>
      </c>
      <c r="C14" s="103"/>
      <c r="D14" s="103"/>
      <c r="E14" s="103"/>
      <c r="F14" s="103"/>
      <c r="G14" s="103"/>
      <c r="H14" s="104">
        <v>1</v>
      </c>
      <c r="I14" s="24">
        <v>1400</v>
      </c>
      <c r="J14" s="24">
        <v>1400</v>
      </c>
      <c r="K14" s="24">
        <v>1400</v>
      </c>
      <c r="L14" s="25">
        <f t="shared" si="1"/>
        <v>4200</v>
      </c>
      <c r="M14" s="37">
        <f t="shared" si="31"/>
        <v>4</v>
      </c>
      <c r="N14" s="38">
        <f t="shared" si="2"/>
        <v>25</v>
      </c>
      <c r="O14" s="27" t="s">
        <v>18</v>
      </c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6">
        <v>2</v>
      </c>
      <c r="AG14" s="105">
        <v>20</v>
      </c>
      <c r="AH14" s="28">
        <f t="shared" si="3"/>
        <v>84000</v>
      </c>
      <c r="AI14" s="29">
        <f t="shared" si="4"/>
        <v>0</v>
      </c>
      <c r="AJ14" s="30">
        <f t="shared" si="5"/>
        <v>0</v>
      </c>
      <c r="AK14" s="30">
        <f t="shared" si="6"/>
        <v>2.5</v>
      </c>
      <c r="AL14" s="31">
        <f t="shared" si="7"/>
        <v>0</v>
      </c>
      <c r="AM14" s="30">
        <f t="shared" si="8"/>
        <v>4</v>
      </c>
      <c r="AN14" s="30">
        <f t="shared" si="9"/>
        <v>4</v>
      </c>
      <c r="AO14" s="31">
        <f t="shared" si="10"/>
        <v>4</v>
      </c>
      <c r="AP14" s="30">
        <f t="shared" si="11"/>
        <v>6</v>
      </c>
      <c r="AQ14" s="30">
        <f t="shared" si="12"/>
        <v>0</v>
      </c>
      <c r="AR14" s="31">
        <f t="shared" si="13"/>
        <v>0</v>
      </c>
      <c r="AS14" s="30">
        <f t="shared" si="14"/>
        <v>4</v>
      </c>
      <c r="AT14" s="4">
        <f t="shared" si="15"/>
        <v>0</v>
      </c>
      <c r="AU14" s="4">
        <f t="shared" si="16"/>
        <v>0</v>
      </c>
      <c r="AV14" s="4">
        <f t="shared" si="17"/>
        <v>25</v>
      </c>
      <c r="AW14" s="4">
        <f t="shared" si="18"/>
        <v>0</v>
      </c>
      <c r="AX14" s="4">
        <f t="shared" si="19"/>
        <v>25</v>
      </c>
      <c r="AY14" s="4">
        <f t="shared" si="20"/>
        <v>0</v>
      </c>
      <c r="AZ14" s="4">
        <f t="shared" si="21"/>
        <v>4200</v>
      </c>
      <c r="BA14" s="4">
        <f t="shared" si="22"/>
        <v>0</v>
      </c>
      <c r="BD14" s="4">
        <v>3000</v>
      </c>
      <c r="BE14" s="53"/>
      <c r="BF14" s="53" t="e">
        <f>$BD$13-(#REF!)-9000</f>
        <v>#REF!</v>
      </c>
      <c r="BG14" s="34" t="e">
        <f>IF(BF14&lt;=2000,BF14*0.75,0)</f>
        <v>#REF!</v>
      </c>
      <c r="BH14" s="35"/>
      <c r="BI14" s="58" t="e">
        <f t="shared" ref="BI14:BI21" si="32">IF(CZ14&gt;0,BG14,0)</f>
        <v>#REF!</v>
      </c>
      <c r="BJ14" s="60">
        <f>IF(BD13&lt;=120000,(BD13-3000)*0.35,0)</f>
        <v>3849.9999999999995</v>
      </c>
      <c r="BK14" s="35"/>
      <c r="BL14" s="56">
        <f>IF(BD13&gt;120000,40950,IF(BJ14&lt;0,0,BJ14))</f>
        <v>3849.9999999999995</v>
      </c>
      <c r="BM14" s="60">
        <f>IF(BD13&gt;20000,(BD13-20000)*0.7,0)</f>
        <v>0</v>
      </c>
      <c r="BN14" s="35"/>
      <c r="BO14" s="94">
        <f>BM14</f>
        <v>0</v>
      </c>
      <c r="BP14" s="60">
        <f>IF(BD13&gt;15000,(BD13-15000)*0.4,0)</f>
        <v>0</v>
      </c>
      <c r="BQ14" s="35"/>
      <c r="BR14" s="94">
        <f>BP14</f>
        <v>0</v>
      </c>
      <c r="BS14" s="60">
        <f>IF(BD13&lt;=100000,(BD13-3000)*0.4,0)</f>
        <v>4400</v>
      </c>
      <c r="BT14" s="35"/>
      <c r="BU14" s="56">
        <f>IF(BD13&gt;120000,40950,IF(BS14&lt;0,0,BS14))</f>
        <v>4400</v>
      </c>
      <c r="BV14" s="60">
        <f>IF(BD13&gt;50000,(BD13-50000)*0.2,0)</f>
        <v>0</v>
      </c>
      <c r="BW14" s="35"/>
      <c r="BX14" s="94">
        <f>BV14</f>
        <v>0</v>
      </c>
      <c r="BY14" s="35"/>
      <c r="BZ14" s="35"/>
      <c r="CA14" s="36"/>
      <c r="CB14" s="35"/>
      <c r="CC14" s="35"/>
      <c r="CD14" s="36"/>
      <c r="CE14" s="36"/>
      <c r="CF14" s="36"/>
      <c r="CG14" s="36"/>
      <c r="CH14" s="36"/>
      <c r="CI14" s="16">
        <f t="shared" si="23"/>
        <v>0</v>
      </c>
      <c r="CJ14" s="16">
        <f t="shared" si="24"/>
        <v>0</v>
      </c>
      <c r="CK14" s="16">
        <f t="shared" si="25"/>
        <v>0</v>
      </c>
      <c r="CL14" s="16">
        <f t="shared" si="26"/>
        <v>0</v>
      </c>
      <c r="CM14" s="16">
        <f t="shared" si="27"/>
        <v>0</v>
      </c>
      <c r="CN14" s="16">
        <f t="shared" si="28"/>
        <v>0</v>
      </c>
      <c r="CO14" s="16">
        <f t="shared" si="29"/>
        <v>0</v>
      </c>
      <c r="CP14" s="16">
        <f t="shared" si="30"/>
        <v>0</v>
      </c>
      <c r="CQ14" s="23"/>
      <c r="CS14" s="4">
        <f>CS13-10000</f>
        <v>4000</v>
      </c>
      <c r="CT14" s="61">
        <v>1</v>
      </c>
      <c r="CU14" s="12">
        <v>1000</v>
      </c>
      <c r="CV14" s="12"/>
      <c r="CW14" s="12"/>
      <c r="CX14" s="12"/>
      <c r="CY14" s="12">
        <f>IF(CS13&lt;10000,BG13,0)</f>
        <v>0</v>
      </c>
      <c r="CZ14" s="14">
        <f>IF($CS$13&lt;=10000,CZ13-1000,$CS$13-10000)</f>
        <v>4000</v>
      </c>
      <c r="DB14" s="4">
        <f>DA14*0.24</f>
        <v>0</v>
      </c>
    </row>
    <row r="15" spans="2:106" ht="13.5" thickBot="1">
      <c r="B15" s="111">
        <v>9</v>
      </c>
      <c r="C15" s="103"/>
      <c r="D15" s="103"/>
      <c r="E15" s="103"/>
      <c r="F15" s="103"/>
      <c r="G15" s="103"/>
      <c r="H15" s="104">
        <v>1</v>
      </c>
      <c r="I15" s="24">
        <v>1400</v>
      </c>
      <c r="J15" s="24">
        <v>1400</v>
      </c>
      <c r="K15" s="24">
        <v>1400</v>
      </c>
      <c r="L15" s="25">
        <f t="shared" si="1"/>
        <v>4200</v>
      </c>
      <c r="M15" s="37">
        <f t="shared" si="31"/>
        <v>4</v>
      </c>
      <c r="N15" s="38">
        <f t="shared" si="2"/>
        <v>25</v>
      </c>
      <c r="O15" s="27" t="s">
        <v>18</v>
      </c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6">
        <v>3</v>
      </c>
      <c r="AG15" s="105">
        <v>20</v>
      </c>
      <c r="AH15" s="28">
        <f t="shared" si="3"/>
        <v>84000</v>
      </c>
      <c r="AI15" s="29">
        <f t="shared" si="4"/>
        <v>0</v>
      </c>
      <c r="AJ15" s="30">
        <f t="shared" si="5"/>
        <v>0</v>
      </c>
      <c r="AK15" s="30">
        <f t="shared" si="6"/>
        <v>2.5</v>
      </c>
      <c r="AL15" s="31">
        <f t="shared" si="7"/>
        <v>0</v>
      </c>
      <c r="AM15" s="30">
        <f t="shared" si="8"/>
        <v>4</v>
      </c>
      <c r="AN15" s="30">
        <f t="shared" si="9"/>
        <v>4</v>
      </c>
      <c r="AO15" s="31">
        <f t="shared" si="10"/>
        <v>4</v>
      </c>
      <c r="AP15" s="30">
        <f t="shared" si="11"/>
        <v>6</v>
      </c>
      <c r="AQ15" s="30">
        <f t="shared" si="12"/>
        <v>0</v>
      </c>
      <c r="AR15" s="31">
        <f t="shared" si="13"/>
        <v>0</v>
      </c>
      <c r="AS15" s="30">
        <f t="shared" si="14"/>
        <v>4</v>
      </c>
      <c r="AT15" s="4">
        <f t="shared" si="15"/>
        <v>0</v>
      </c>
      <c r="AU15" s="4">
        <f t="shared" si="16"/>
        <v>0</v>
      </c>
      <c r="AV15" s="4">
        <f t="shared" si="17"/>
        <v>25</v>
      </c>
      <c r="AW15" s="4">
        <f t="shared" si="18"/>
        <v>0</v>
      </c>
      <c r="AX15" s="4">
        <f t="shared" si="19"/>
        <v>25</v>
      </c>
      <c r="AY15" s="4">
        <f t="shared" si="20"/>
        <v>0</v>
      </c>
      <c r="AZ15" s="4">
        <f t="shared" si="21"/>
        <v>0</v>
      </c>
      <c r="BA15" s="4">
        <f t="shared" si="22"/>
        <v>4200</v>
      </c>
      <c r="BD15" s="4">
        <f>BD13-BD14</f>
        <v>11000</v>
      </c>
      <c r="BE15" s="53"/>
      <c r="BF15" s="53" t="e">
        <f>$BD$13-(#REF!)-9000</f>
        <v>#REF!</v>
      </c>
      <c r="BG15" s="34" t="e">
        <f>IF(BF15&lt;=3000,BF15*0.66,0)</f>
        <v>#REF!</v>
      </c>
      <c r="BH15" s="35"/>
      <c r="BI15" s="58" t="e">
        <f t="shared" si="32"/>
        <v>#REF!</v>
      </c>
      <c r="BJ15" s="60">
        <f>IF(BD13&gt;120000,(BD13-120000)*0.25,0)</f>
        <v>0</v>
      </c>
      <c r="BK15" s="54">
        <f>IF(BJ15&lt;0,0,BJ15)</f>
        <v>0</v>
      </c>
      <c r="BL15" s="56">
        <f>BK15</f>
        <v>0</v>
      </c>
      <c r="BM15" s="60"/>
      <c r="BN15" s="35"/>
      <c r="BO15" s="58"/>
      <c r="BP15" s="57"/>
      <c r="BQ15" s="35"/>
      <c r="BR15" s="58"/>
      <c r="BS15" s="60">
        <f>IF(BD13&gt;100000,(BD13-100000)*0.3,0)</f>
        <v>0</v>
      </c>
      <c r="BT15" s="54">
        <f>IF(BS15&lt;0,0,BS15)</f>
        <v>0</v>
      </c>
      <c r="BU15" s="56">
        <f>BT15</f>
        <v>0</v>
      </c>
      <c r="BV15" s="57"/>
      <c r="BW15" s="35"/>
      <c r="BX15" s="58"/>
      <c r="BY15" s="35"/>
      <c r="BZ15" s="35"/>
      <c r="CA15" s="36"/>
      <c r="CB15" s="35"/>
      <c r="CC15" s="35"/>
      <c r="CD15" s="36"/>
      <c r="CE15" s="36"/>
      <c r="CF15" s="36"/>
      <c r="CG15" s="36"/>
      <c r="CH15" s="36"/>
      <c r="CI15" s="16">
        <f t="shared" si="23"/>
        <v>0</v>
      </c>
      <c r="CJ15" s="16">
        <f t="shared" si="24"/>
        <v>0</v>
      </c>
      <c r="CK15" s="16">
        <f t="shared" si="25"/>
        <v>0</v>
      </c>
      <c r="CL15" s="16">
        <f t="shared" si="26"/>
        <v>0</v>
      </c>
      <c r="CM15" s="16">
        <f t="shared" si="27"/>
        <v>0</v>
      </c>
      <c r="CN15" s="16">
        <f t="shared" si="28"/>
        <v>0</v>
      </c>
      <c r="CO15" s="16">
        <f t="shared" si="29"/>
        <v>0</v>
      </c>
      <c r="CP15" s="16">
        <f t="shared" si="30"/>
        <v>0</v>
      </c>
      <c r="CQ15" s="23"/>
      <c r="CS15" s="4">
        <f>ABS(CS14)</f>
        <v>4000</v>
      </c>
      <c r="CT15" s="32">
        <v>2</v>
      </c>
      <c r="CU15" s="16">
        <v>2000</v>
      </c>
      <c r="CV15" s="16"/>
      <c r="CW15" s="16"/>
      <c r="CX15" s="16"/>
      <c r="CY15" s="12" t="e">
        <f t="shared" ref="CY15:CY21" si="33">IF(CS14&lt;10000,BG14,0)</f>
        <v>#REF!</v>
      </c>
      <c r="CZ15" s="23">
        <f>IF($CS$13&lt;=10000,CZ14-1000,$CS$13-10000)</f>
        <v>4000</v>
      </c>
    </row>
    <row r="16" spans="2:106" ht="13.5" thickBot="1">
      <c r="B16" s="111">
        <v>10</v>
      </c>
      <c r="C16" s="103"/>
      <c r="D16" s="103"/>
      <c r="E16" s="103"/>
      <c r="F16" s="103"/>
      <c r="G16" s="103"/>
      <c r="H16" s="104">
        <v>1</v>
      </c>
      <c r="I16" s="24">
        <v>1400</v>
      </c>
      <c r="J16" s="24">
        <v>1400</v>
      </c>
      <c r="K16" s="24">
        <v>1400</v>
      </c>
      <c r="L16" s="25">
        <f t="shared" si="1"/>
        <v>4200</v>
      </c>
      <c r="M16" s="37">
        <f t="shared" si="31"/>
        <v>4</v>
      </c>
      <c r="N16" s="38">
        <f t="shared" si="2"/>
        <v>25</v>
      </c>
      <c r="O16" s="27" t="s">
        <v>18</v>
      </c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6">
        <v>1</v>
      </c>
      <c r="AG16" s="105">
        <v>20</v>
      </c>
      <c r="AH16" s="28">
        <f t="shared" si="3"/>
        <v>84000</v>
      </c>
      <c r="AI16" s="29">
        <f t="shared" si="4"/>
        <v>0</v>
      </c>
      <c r="AJ16" s="30">
        <f t="shared" si="5"/>
        <v>0</v>
      </c>
      <c r="AK16" s="30">
        <f t="shared" si="6"/>
        <v>2.5</v>
      </c>
      <c r="AL16" s="31">
        <f t="shared" si="7"/>
        <v>0</v>
      </c>
      <c r="AM16" s="30">
        <f t="shared" si="8"/>
        <v>4</v>
      </c>
      <c r="AN16" s="30">
        <f t="shared" si="9"/>
        <v>4</v>
      </c>
      <c r="AO16" s="31">
        <f t="shared" si="10"/>
        <v>4</v>
      </c>
      <c r="AP16" s="30">
        <f t="shared" si="11"/>
        <v>6</v>
      </c>
      <c r="AQ16" s="30">
        <f t="shared" si="12"/>
        <v>0</v>
      </c>
      <c r="AR16" s="31">
        <f t="shared" si="13"/>
        <v>0</v>
      </c>
      <c r="AS16" s="30">
        <f t="shared" si="14"/>
        <v>4</v>
      </c>
      <c r="AT16" s="4">
        <f t="shared" si="15"/>
        <v>0</v>
      </c>
      <c r="AU16" s="4">
        <f t="shared" si="16"/>
        <v>0</v>
      </c>
      <c r="AV16" s="4">
        <f t="shared" si="17"/>
        <v>25</v>
      </c>
      <c r="AW16" s="4">
        <f t="shared" si="18"/>
        <v>0</v>
      </c>
      <c r="AX16" s="4">
        <f t="shared" si="19"/>
        <v>25</v>
      </c>
      <c r="AY16" s="4">
        <f t="shared" si="20"/>
        <v>4200</v>
      </c>
      <c r="AZ16" s="4">
        <f t="shared" si="21"/>
        <v>0</v>
      </c>
      <c r="BA16" s="4">
        <f t="shared" si="22"/>
        <v>0</v>
      </c>
      <c r="BE16" s="53"/>
      <c r="BF16" s="53" t="e">
        <f>$BD$13-(#REF!)-9000</f>
        <v>#REF!</v>
      </c>
      <c r="BG16" s="34" t="e">
        <f>IF(BF16&lt;=4000,BF16*0.59,0)</f>
        <v>#REF!</v>
      </c>
      <c r="BH16" s="35"/>
      <c r="BI16" s="58" t="e">
        <f t="shared" si="32"/>
        <v>#REF!</v>
      </c>
      <c r="BJ16" s="57"/>
      <c r="BK16" s="35"/>
      <c r="BL16" s="58"/>
      <c r="BM16" s="57"/>
      <c r="BN16" s="35"/>
      <c r="BO16" s="58"/>
      <c r="BP16" s="57"/>
      <c r="BQ16" s="35"/>
      <c r="BR16" s="58"/>
      <c r="BS16" s="59"/>
      <c r="BT16" s="35"/>
      <c r="BU16" s="58"/>
      <c r="BV16" s="57"/>
      <c r="BW16" s="35"/>
      <c r="BX16" s="58"/>
      <c r="BY16" s="35"/>
      <c r="BZ16" s="35"/>
      <c r="CA16" s="36"/>
      <c r="CB16" s="35"/>
      <c r="CC16" s="35"/>
      <c r="CD16" s="36"/>
      <c r="CE16" s="36"/>
      <c r="CF16" s="36"/>
      <c r="CG16" s="36"/>
      <c r="CH16" s="36"/>
      <c r="CI16" s="16">
        <f t="shared" si="23"/>
        <v>0</v>
      </c>
      <c r="CJ16" s="16">
        <f t="shared" si="24"/>
        <v>0</v>
      </c>
      <c r="CK16" s="16">
        <f t="shared" si="25"/>
        <v>0</v>
      </c>
      <c r="CL16" s="16">
        <f t="shared" si="26"/>
        <v>0</v>
      </c>
      <c r="CM16" s="16">
        <f t="shared" si="27"/>
        <v>0</v>
      </c>
      <c r="CN16" s="16">
        <f t="shared" si="28"/>
        <v>0</v>
      </c>
      <c r="CO16" s="16">
        <f t="shared" si="29"/>
        <v>0</v>
      </c>
      <c r="CP16" s="16">
        <f t="shared" si="30"/>
        <v>0</v>
      </c>
      <c r="CQ16" s="23"/>
      <c r="CT16" s="32">
        <v>3</v>
      </c>
      <c r="CU16" s="16">
        <v>3000</v>
      </c>
      <c r="CV16" s="16"/>
      <c r="CW16" s="16"/>
      <c r="CX16" s="16"/>
      <c r="CY16" s="12" t="e">
        <f t="shared" si="33"/>
        <v>#REF!</v>
      </c>
      <c r="CZ16" s="23">
        <f t="shared" ref="CZ16:CZ21" si="34">IF($CS$13&lt;=10000,CZ15-1000,$CS$13-10000)</f>
        <v>4000</v>
      </c>
    </row>
    <row r="17" spans="2:104" ht="13.5" hidden="1" thickBot="1">
      <c r="B17" s="111">
        <v>12</v>
      </c>
      <c r="C17" s="103"/>
      <c r="D17" s="103"/>
      <c r="E17" s="103"/>
      <c r="F17" s="103"/>
      <c r="G17" s="103"/>
      <c r="H17" s="104"/>
      <c r="I17" s="24"/>
      <c r="J17" s="24"/>
      <c r="K17" s="24"/>
      <c r="L17" s="25">
        <f t="shared" si="1"/>
        <v>0</v>
      </c>
      <c r="M17" s="37">
        <f t="shared" si="31"/>
        <v>1.5</v>
      </c>
      <c r="N17" s="38">
        <f t="shared" si="2"/>
        <v>10</v>
      </c>
      <c r="O17" s="27" t="s">
        <v>29</v>
      </c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4">
        <v>1</v>
      </c>
      <c r="AG17" s="105">
        <v>20</v>
      </c>
      <c r="AH17" s="28">
        <f t="shared" si="3"/>
        <v>0</v>
      </c>
      <c r="AI17" s="29">
        <f t="shared" si="4"/>
        <v>1.5</v>
      </c>
      <c r="AJ17" s="30">
        <f t="shared" si="5"/>
        <v>2.5</v>
      </c>
      <c r="AK17" s="30">
        <f t="shared" si="6"/>
        <v>0</v>
      </c>
      <c r="AL17" s="31">
        <f t="shared" si="7"/>
        <v>0</v>
      </c>
      <c r="AM17" s="30">
        <f t="shared" si="8"/>
        <v>4</v>
      </c>
      <c r="AN17" s="30">
        <f t="shared" si="9"/>
        <v>0</v>
      </c>
      <c r="AO17" s="31">
        <f t="shared" si="10"/>
        <v>0</v>
      </c>
      <c r="AP17" s="30">
        <f t="shared" si="11"/>
        <v>6</v>
      </c>
      <c r="AQ17" s="30">
        <f t="shared" si="12"/>
        <v>0</v>
      </c>
      <c r="AR17" s="31">
        <f t="shared" si="13"/>
        <v>0</v>
      </c>
      <c r="AS17" s="30">
        <f t="shared" si="14"/>
        <v>1.5</v>
      </c>
      <c r="AT17" s="4">
        <f t="shared" si="15"/>
        <v>10</v>
      </c>
      <c r="AU17" s="4">
        <f t="shared" si="16"/>
        <v>0</v>
      </c>
      <c r="AV17" s="4">
        <f t="shared" si="17"/>
        <v>0</v>
      </c>
      <c r="AW17" s="4">
        <f t="shared" si="18"/>
        <v>0</v>
      </c>
      <c r="AX17" s="4">
        <f t="shared" si="19"/>
        <v>10</v>
      </c>
      <c r="AY17" s="4">
        <f t="shared" si="20"/>
        <v>0</v>
      </c>
      <c r="AZ17" s="4">
        <f t="shared" si="21"/>
        <v>0</v>
      </c>
      <c r="BA17" s="4">
        <f t="shared" si="22"/>
        <v>0</v>
      </c>
      <c r="BE17" s="53"/>
      <c r="BF17" s="53" t="e">
        <f>$BD$13-(#REF!)-9000</f>
        <v>#REF!</v>
      </c>
      <c r="BG17" s="34" t="e">
        <f>IF(BF17&lt;=6000,BF17*0.45,0)</f>
        <v>#REF!</v>
      </c>
      <c r="BH17" s="35"/>
      <c r="BI17" s="58" t="e">
        <f t="shared" si="32"/>
        <v>#REF!</v>
      </c>
      <c r="BJ17" s="57"/>
      <c r="BK17" s="35"/>
      <c r="BL17" s="58"/>
      <c r="BM17" s="57"/>
      <c r="BN17" s="35"/>
      <c r="BO17" s="58"/>
      <c r="BP17" s="57"/>
      <c r="BQ17" s="35"/>
      <c r="BR17" s="58"/>
      <c r="BS17" s="59"/>
      <c r="BT17" s="35"/>
      <c r="BU17" s="58"/>
      <c r="BV17" s="57"/>
      <c r="BW17" s="35"/>
      <c r="BX17" s="58"/>
      <c r="BY17" s="35"/>
      <c r="BZ17" s="35"/>
      <c r="CA17" s="36"/>
      <c r="CB17" s="35"/>
      <c r="CC17" s="35"/>
      <c r="CD17" s="36"/>
      <c r="CE17" s="36"/>
      <c r="CF17" s="36"/>
      <c r="CG17" s="36"/>
      <c r="CH17" s="36"/>
      <c r="CI17" s="16">
        <f t="shared" si="23"/>
        <v>0</v>
      </c>
      <c r="CJ17" s="16">
        <f t="shared" si="24"/>
        <v>0</v>
      </c>
      <c r="CK17" s="16">
        <f t="shared" si="25"/>
        <v>0</v>
      </c>
      <c r="CL17" s="16">
        <f t="shared" si="26"/>
        <v>0</v>
      </c>
      <c r="CM17" s="16">
        <f t="shared" si="27"/>
        <v>0</v>
      </c>
      <c r="CN17" s="16">
        <f t="shared" si="28"/>
        <v>0</v>
      </c>
      <c r="CO17" s="16">
        <f t="shared" si="29"/>
        <v>0</v>
      </c>
      <c r="CP17" s="16">
        <f t="shared" si="30"/>
        <v>0</v>
      </c>
      <c r="CQ17" s="23"/>
      <c r="CT17" s="32">
        <v>5</v>
      </c>
      <c r="CU17" s="16">
        <v>5000</v>
      </c>
      <c r="CV17" s="16"/>
      <c r="CW17" s="16"/>
      <c r="CX17" s="16"/>
      <c r="CY17" s="12" t="e">
        <f>IF(#REF!&lt;10000,#REF!,0)</f>
        <v>#REF!</v>
      </c>
      <c r="CZ17" s="23">
        <f>IF($CS$13&lt;=10000,#REF!-1000,$CS$13-10000)</f>
        <v>4000</v>
      </c>
    </row>
    <row r="18" spans="2:104" ht="13.5" hidden="1" thickBot="1">
      <c r="B18" s="111">
        <v>13</v>
      </c>
      <c r="C18" s="103"/>
      <c r="D18" s="103"/>
      <c r="E18" s="103"/>
      <c r="F18" s="103"/>
      <c r="G18" s="103"/>
      <c r="H18" s="104"/>
      <c r="I18" s="24"/>
      <c r="J18" s="24"/>
      <c r="K18" s="24"/>
      <c r="L18" s="25">
        <f t="shared" si="1"/>
        <v>0</v>
      </c>
      <c r="M18" s="37">
        <f t="shared" si="31"/>
        <v>1.5</v>
      </c>
      <c r="N18" s="38">
        <f t="shared" si="2"/>
        <v>10</v>
      </c>
      <c r="O18" s="27" t="s">
        <v>16</v>
      </c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4">
        <v>2</v>
      </c>
      <c r="AG18" s="105">
        <v>20</v>
      </c>
      <c r="AH18" s="28">
        <f t="shared" si="3"/>
        <v>0</v>
      </c>
      <c r="AI18" s="29">
        <f t="shared" si="4"/>
        <v>1.5</v>
      </c>
      <c r="AJ18" s="30">
        <f t="shared" si="5"/>
        <v>2.5</v>
      </c>
      <c r="AK18" s="30">
        <f t="shared" si="6"/>
        <v>0</v>
      </c>
      <c r="AL18" s="31">
        <f t="shared" si="7"/>
        <v>0</v>
      </c>
      <c r="AM18" s="30">
        <f t="shared" si="8"/>
        <v>4</v>
      </c>
      <c r="AN18" s="30">
        <f t="shared" si="9"/>
        <v>0</v>
      </c>
      <c r="AO18" s="31">
        <f t="shared" si="10"/>
        <v>0</v>
      </c>
      <c r="AP18" s="30">
        <f t="shared" si="11"/>
        <v>6</v>
      </c>
      <c r="AQ18" s="30">
        <f t="shared" si="12"/>
        <v>0</v>
      </c>
      <c r="AR18" s="31">
        <f t="shared" si="13"/>
        <v>0</v>
      </c>
      <c r="AS18" s="30">
        <f t="shared" si="14"/>
        <v>1.5</v>
      </c>
      <c r="AT18" s="4">
        <f t="shared" si="15"/>
        <v>10</v>
      </c>
      <c r="AU18" s="4">
        <f t="shared" si="16"/>
        <v>0</v>
      </c>
      <c r="AV18" s="4">
        <f t="shared" si="17"/>
        <v>0</v>
      </c>
      <c r="AW18" s="4">
        <f t="shared" si="18"/>
        <v>0</v>
      </c>
      <c r="AX18" s="4">
        <f t="shared" si="19"/>
        <v>10</v>
      </c>
      <c r="AY18" s="4">
        <f t="shared" si="20"/>
        <v>0</v>
      </c>
      <c r="AZ18" s="4">
        <f t="shared" si="21"/>
        <v>0</v>
      </c>
      <c r="BA18" s="4">
        <f t="shared" si="22"/>
        <v>0</v>
      </c>
      <c r="BE18" s="53"/>
      <c r="BF18" s="53" t="e">
        <f>$BD$13-(#REF!)-9000</f>
        <v>#REF!</v>
      </c>
      <c r="BG18" s="34" t="e">
        <f>IF(BF18&lt;=7000,BF18*0.4,0)</f>
        <v>#REF!</v>
      </c>
      <c r="BH18" s="35"/>
      <c r="BI18" s="58" t="e">
        <f t="shared" si="32"/>
        <v>#REF!</v>
      </c>
      <c r="BJ18" s="57"/>
      <c r="BK18" s="35"/>
      <c r="BL18" s="58"/>
      <c r="BM18" s="57"/>
      <c r="BN18" s="35"/>
      <c r="BO18" s="58"/>
      <c r="BP18" s="57"/>
      <c r="BQ18" s="35"/>
      <c r="BR18" s="58"/>
      <c r="BS18" s="59"/>
      <c r="BT18" s="35"/>
      <c r="BU18" s="58"/>
      <c r="BV18" s="57"/>
      <c r="BW18" s="35"/>
      <c r="BX18" s="58"/>
      <c r="BY18" s="35"/>
      <c r="BZ18" s="35"/>
      <c r="CA18" s="36"/>
      <c r="CB18" s="35"/>
      <c r="CC18" s="35"/>
      <c r="CD18" s="36"/>
      <c r="CE18" s="36"/>
      <c r="CF18" s="36"/>
      <c r="CG18" s="36"/>
      <c r="CH18" s="36"/>
      <c r="CI18" s="16">
        <f t="shared" si="23"/>
        <v>0</v>
      </c>
      <c r="CJ18" s="16">
        <f t="shared" si="24"/>
        <v>0</v>
      </c>
      <c r="CK18" s="16">
        <f t="shared" si="25"/>
        <v>0</v>
      </c>
      <c r="CL18" s="16">
        <f t="shared" si="26"/>
        <v>0</v>
      </c>
      <c r="CM18" s="16">
        <f t="shared" si="27"/>
        <v>0</v>
      </c>
      <c r="CN18" s="16">
        <f t="shared" si="28"/>
        <v>0</v>
      </c>
      <c r="CO18" s="16">
        <f t="shared" si="29"/>
        <v>0</v>
      </c>
      <c r="CP18" s="16">
        <f t="shared" si="30"/>
        <v>0</v>
      </c>
      <c r="CQ18" s="23"/>
      <c r="CT18" s="32">
        <v>6</v>
      </c>
      <c r="CU18" s="16">
        <v>6000</v>
      </c>
      <c r="CV18" s="16"/>
      <c r="CW18" s="16"/>
      <c r="CX18" s="16"/>
      <c r="CY18" s="12" t="e">
        <f t="shared" si="33"/>
        <v>#REF!</v>
      </c>
      <c r="CZ18" s="23">
        <f t="shared" si="34"/>
        <v>4000</v>
      </c>
    </row>
    <row r="19" spans="2:104" ht="13.5" hidden="1" thickBot="1">
      <c r="B19" s="111">
        <v>14</v>
      </c>
      <c r="C19" s="103"/>
      <c r="D19" s="103"/>
      <c r="E19" s="103"/>
      <c r="F19" s="103"/>
      <c r="G19" s="103"/>
      <c r="H19" s="104"/>
      <c r="I19" s="24"/>
      <c r="J19" s="24"/>
      <c r="K19" s="24"/>
      <c r="L19" s="25">
        <f t="shared" si="1"/>
        <v>0</v>
      </c>
      <c r="M19" s="37">
        <f t="shared" si="31"/>
        <v>1.5</v>
      </c>
      <c r="N19" s="38">
        <f t="shared" si="2"/>
        <v>10</v>
      </c>
      <c r="O19" s="27" t="s">
        <v>17</v>
      </c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4">
        <v>3</v>
      </c>
      <c r="AG19" s="105">
        <v>20</v>
      </c>
      <c r="AH19" s="28">
        <f t="shared" si="3"/>
        <v>0</v>
      </c>
      <c r="AI19" s="29">
        <f t="shared" si="4"/>
        <v>1.5</v>
      </c>
      <c r="AJ19" s="30">
        <f t="shared" si="5"/>
        <v>2.5</v>
      </c>
      <c r="AK19" s="30">
        <f t="shared" si="6"/>
        <v>0</v>
      </c>
      <c r="AL19" s="31">
        <f t="shared" si="7"/>
        <v>0</v>
      </c>
      <c r="AM19" s="30">
        <f t="shared" si="8"/>
        <v>4</v>
      </c>
      <c r="AN19" s="30">
        <f t="shared" si="9"/>
        <v>0</v>
      </c>
      <c r="AO19" s="31">
        <f t="shared" si="10"/>
        <v>0</v>
      </c>
      <c r="AP19" s="30">
        <f t="shared" si="11"/>
        <v>6</v>
      </c>
      <c r="AQ19" s="30">
        <f t="shared" si="12"/>
        <v>0</v>
      </c>
      <c r="AR19" s="31">
        <f t="shared" si="13"/>
        <v>0</v>
      </c>
      <c r="AS19" s="30">
        <f t="shared" si="14"/>
        <v>1.5</v>
      </c>
      <c r="AT19" s="4">
        <f t="shared" si="15"/>
        <v>10</v>
      </c>
      <c r="AU19" s="4">
        <f t="shared" si="16"/>
        <v>0</v>
      </c>
      <c r="AV19" s="4">
        <f t="shared" si="17"/>
        <v>0</v>
      </c>
      <c r="AW19" s="4">
        <f t="shared" si="18"/>
        <v>0</v>
      </c>
      <c r="AX19" s="4">
        <f t="shared" si="19"/>
        <v>10</v>
      </c>
      <c r="AY19" s="4">
        <f t="shared" si="20"/>
        <v>0</v>
      </c>
      <c r="AZ19" s="4">
        <f t="shared" si="21"/>
        <v>0</v>
      </c>
      <c r="BA19" s="4">
        <f t="shared" si="22"/>
        <v>0</v>
      </c>
      <c r="BE19" s="53"/>
      <c r="BF19" s="53" t="e">
        <f>$BD$13-(#REF!)-9000</f>
        <v>#REF!</v>
      </c>
      <c r="BG19" s="34" t="e">
        <f>IF(BF19&lt;=8000,BF19*0.35,0)</f>
        <v>#REF!</v>
      </c>
      <c r="BH19" s="35"/>
      <c r="BI19" s="58" t="e">
        <f t="shared" si="32"/>
        <v>#REF!</v>
      </c>
      <c r="BJ19" s="57"/>
      <c r="BK19" s="35"/>
      <c r="BL19" s="58"/>
      <c r="BM19" s="57"/>
      <c r="BN19" s="35"/>
      <c r="BO19" s="58"/>
      <c r="BP19" s="57"/>
      <c r="BQ19" s="35"/>
      <c r="BR19" s="58"/>
      <c r="BS19" s="59"/>
      <c r="BT19" s="35"/>
      <c r="BU19" s="58"/>
      <c r="BV19" s="57"/>
      <c r="BW19" s="35"/>
      <c r="BX19" s="58"/>
      <c r="BY19" s="35"/>
      <c r="BZ19" s="35"/>
      <c r="CA19" s="36"/>
      <c r="CB19" s="35"/>
      <c r="CC19" s="35"/>
      <c r="CD19" s="36"/>
      <c r="CE19" s="36"/>
      <c r="CF19" s="36"/>
      <c r="CG19" s="36"/>
      <c r="CH19" s="36"/>
      <c r="CI19" s="16">
        <f t="shared" si="23"/>
        <v>0</v>
      </c>
      <c r="CJ19" s="16">
        <f t="shared" si="24"/>
        <v>0</v>
      </c>
      <c r="CK19" s="16">
        <f t="shared" si="25"/>
        <v>0</v>
      </c>
      <c r="CL19" s="16">
        <f t="shared" si="26"/>
        <v>0</v>
      </c>
      <c r="CM19" s="16">
        <f t="shared" si="27"/>
        <v>0</v>
      </c>
      <c r="CN19" s="16">
        <f t="shared" si="28"/>
        <v>0</v>
      </c>
      <c r="CO19" s="16">
        <f t="shared" si="29"/>
        <v>0</v>
      </c>
      <c r="CP19" s="16">
        <f t="shared" si="30"/>
        <v>0</v>
      </c>
      <c r="CQ19" s="23"/>
      <c r="CT19" s="32">
        <v>7</v>
      </c>
      <c r="CU19" s="16">
        <v>7000</v>
      </c>
      <c r="CV19" s="16"/>
      <c r="CW19" s="16"/>
      <c r="CX19" s="16"/>
      <c r="CY19" s="12" t="e">
        <f t="shared" si="33"/>
        <v>#REF!</v>
      </c>
      <c r="CZ19" s="23">
        <f t="shared" si="34"/>
        <v>4000</v>
      </c>
    </row>
    <row r="20" spans="2:104" ht="13.5" hidden="1" thickBot="1">
      <c r="B20" s="111">
        <v>15</v>
      </c>
      <c r="C20" s="103"/>
      <c r="D20" s="103"/>
      <c r="E20" s="103"/>
      <c r="F20" s="103"/>
      <c r="G20" s="103"/>
      <c r="H20" s="104"/>
      <c r="I20" s="24"/>
      <c r="J20" s="24"/>
      <c r="K20" s="24"/>
      <c r="L20" s="25">
        <f t="shared" si="1"/>
        <v>0</v>
      </c>
      <c r="M20" s="37">
        <f t="shared" si="31"/>
        <v>1.5</v>
      </c>
      <c r="N20" s="38">
        <f t="shared" si="2"/>
        <v>10</v>
      </c>
      <c r="O20" s="27" t="s">
        <v>29</v>
      </c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4">
        <v>1</v>
      </c>
      <c r="AG20" s="105">
        <v>20</v>
      </c>
      <c r="AH20" s="28">
        <f t="shared" si="3"/>
        <v>0</v>
      </c>
      <c r="AI20" s="29">
        <f t="shared" si="4"/>
        <v>1.5</v>
      </c>
      <c r="AJ20" s="30">
        <f t="shared" si="5"/>
        <v>2.5</v>
      </c>
      <c r="AK20" s="30">
        <f t="shared" si="6"/>
        <v>0</v>
      </c>
      <c r="AL20" s="31">
        <f t="shared" si="7"/>
        <v>0</v>
      </c>
      <c r="AM20" s="30">
        <f t="shared" si="8"/>
        <v>4</v>
      </c>
      <c r="AN20" s="30">
        <f t="shared" si="9"/>
        <v>0</v>
      </c>
      <c r="AO20" s="31">
        <f t="shared" si="10"/>
        <v>0</v>
      </c>
      <c r="AP20" s="30">
        <f t="shared" si="11"/>
        <v>6</v>
      </c>
      <c r="AQ20" s="30">
        <f t="shared" si="12"/>
        <v>0</v>
      </c>
      <c r="AR20" s="31">
        <f t="shared" si="13"/>
        <v>0</v>
      </c>
      <c r="AS20" s="30">
        <f t="shared" si="14"/>
        <v>1.5</v>
      </c>
      <c r="AT20" s="4">
        <f t="shared" si="15"/>
        <v>10</v>
      </c>
      <c r="AU20" s="4">
        <f t="shared" si="16"/>
        <v>0</v>
      </c>
      <c r="AV20" s="4">
        <f t="shared" si="17"/>
        <v>0</v>
      </c>
      <c r="AW20" s="4">
        <f t="shared" si="18"/>
        <v>0</v>
      </c>
      <c r="AX20" s="4">
        <f t="shared" si="19"/>
        <v>10</v>
      </c>
      <c r="AY20" s="4">
        <f t="shared" si="20"/>
        <v>0</v>
      </c>
      <c r="AZ20" s="4">
        <f t="shared" si="21"/>
        <v>0</v>
      </c>
      <c r="BA20" s="4">
        <f t="shared" si="22"/>
        <v>0</v>
      </c>
      <c r="BE20" s="53"/>
      <c r="BF20" s="53" t="e">
        <f>$BD$13-(#REF!)-9000</f>
        <v>#REF!</v>
      </c>
      <c r="BG20" s="34" t="e">
        <f>IF(BF20&lt;=9000,BF20*0.31,0)</f>
        <v>#REF!</v>
      </c>
      <c r="BH20" s="35"/>
      <c r="BI20" s="58" t="e">
        <f t="shared" si="32"/>
        <v>#REF!</v>
      </c>
      <c r="BJ20" s="62"/>
      <c r="BK20" s="63"/>
      <c r="BL20" s="64"/>
      <c r="BM20" s="62"/>
      <c r="BN20" s="63"/>
      <c r="BO20" s="64"/>
      <c r="BP20" s="62"/>
      <c r="BQ20" s="63"/>
      <c r="BR20" s="64"/>
      <c r="BS20" s="65"/>
      <c r="BT20" s="63"/>
      <c r="BU20" s="64"/>
      <c r="BV20" s="62"/>
      <c r="BW20" s="63"/>
      <c r="BX20" s="64"/>
      <c r="BY20" s="63"/>
      <c r="BZ20" s="63"/>
      <c r="CA20" s="66"/>
      <c r="CB20" s="63"/>
      <c r="CC20" s="63"/>
      <c r="CD20" s="66"/>
      <c r="CE20" s="66"/>
      <c r="CF20" s="66"/>
      <c r="CG20" s="66"/>
      <c r="CH20" s="66"/>
      <c r="CI20" s="67">
        <f t="shared" si="23"/>
        <v>0</v>
      </c>
      <c r="CJ20" s="67">
        <f t="shared" si="24"/>
        <v>0</v>
      </c>
      <c r="CK20" s="67">
        <f t="shared" si="25"/>
        <v>0</v>
      </c>
      <c r="CL20" s="67">
        <f t="shared" si="26"/>
        <v>0</v>
      </c>
      <c r="CM20" s="67">
        <f t="shared" si="27"/>
        <v>0</v>
      </c>
      <c r="CN20" s="67">
        <f t="shared" si="28"/>
        <v>0</v>
      </c>
      <c r="CO20" s="67">
        <f t="shared" si="29"/>
        <v>0</v>
      </c>
      <c r="CP20" s="67">
        <f t="shared" si="30"/>
        <v>0</v>
      </c>
      <c r="CQ20" s="68"/>
      <c r="CT20" s="32">
        <v>8</v>
      </c>
      <c r="CU20" s="16">
        <v>8000</v>
      </c>
      <c r="CV20" s="16"/>
      <c r="CW20" s="16"/>
      <c r="CX20" s="16"/>
      <c r="CY20" s="12" t="e">
        <f t="shared" si="33"/>
        <v>#REF!</v>
      </c>
      <c r="CZ20" s="23">
        <f t="shared" si="34"/>
        <v>4000</v>
      </c>
    </row>
    <row r="21" spans="2:104" ht="13.5" thickBot="1">
      <c r="B21" s="112" t="s">
        <v>7</v>
      </c>
      <c r="C21" s="69">
        <f t="shared" ref="C21:G21" si="35">SUM(C6:C9)</f>
        <v>0</v>
      </c>
      <c r="D21" s="69">
        <f t="shared" si="35"/>
        <v>0</v>
      </c>
      <c r="E21" s="69">
        <f t="shared" si="35"/>
        <v>0</v>
      </c>
      <c r="F21" s="69">
        <f t="shared" si="35"/>
        <v>10</v>
      </c>
      <c r="G21" s="69">
        <f t="shared" si="35"/>
        <v>2</v>
      </c>
      <c r="H21" s="69">
        <f>SUM(H6:H16)</f>
        <v>5</v>
      </c>
      <c r="I21" s="69">
        <f>SUM(I6:I20)</f>
        <v>10280</v>
      </c>
      <c r="J21" s="69">
        <f>SUM(J6:J20)</f>
        <v>11200</v>
      </c>
      <c r="K21" s="69">
        <f>SUM(K6:K20)</f>
        <v>12000</v>
      </c>
      <c r="L21" s="69">
        <f>SUM(L6:L20)</f>
        <v>33480</v>
      </c>
      <c r="M21" s="70">
        <f>E69</f>
        <v>16</v>
      </c>
      <c r="N21" s="71">
        <v>55</v>
      </c>
      <c r="O21" s="71" t="s">
        <v>18</v>
      </c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Y21" s="4">
        <f>SUM(AY6:AY20)</f>
        <v>8880</v>
      </c>
      <c r="AZ21" s="4">
        <f>SUM(AZ6:AZ20)</f>
        <v>14000</v>
      </c>
      <c r="BA21" s="4">
        <f>SUM(BA6:BA20)</f>
        <v>10600</v>
      </c>
      <c r="BE21" s="53"/>
      <c r="BF21" s="53" t="e">
        <f>$BD$13-(#REF!)-9000</f>
        <v>#REF!</v>
      </c>
      <c r="BG21" s="34" t="e">
        <f>IF(BF21&lt;=10000,BF21*0.27,0)</f>
        <v>#REF!</v>
      </c>
      <c r="BH21" s="35"/>
      <c r="BI21" s="58" t="e">
        <f t="shared" si="32"/>
        <v>#REF!</v>
      </c>
      <c r="BJ21" s="32"/>
      <c r="BK21" s="16"/>
      <c r="BL21" s="23"/>
      <c r="BM21" s="32"/>
      <c r="BN21" s="16"/>
      <c r="BO21" s="23"/>
      <c r="BP21" s="32"/>
      <c r="BQ21" s="16"/>
      <c r="BR21" s="23"/>
      <c r="BS21" s="32"/>
      <c r="BT21" s="16"/>
      <c r="BU21" s="72"/>
      <c r="BV21" s="32"/>
      <c r="BW21" s="16"/>
      <c r="BX21" s="72"/>
      <c r="CN21" s="4">
        <f>SUM(CN6:CN20)</f>
        <v>0</v>
      </c>
      <c r="CO21" s="4">
        <f>SUM(CO6:CO20)</f>
        <v>0</v>
      </c>
      <c r="CP21" s="4">
        <f>SUM(CP6:CP20)</f>
        <v>0</v>
      </c>
      <c r="CT21" s="32">
        <v>9</v>
      </c>
      <c r="CU21" s="16">
        <v>9000</v>
      </c>
      <c r="CV21" s="16"/>
      <c r="CW21" s="16"/>
      <c r="CX21" s="16"/>
      <c r="CY21" s="12" t="e">
        <f t="shared" si="33"/>
        <v>#REF!</v>
      </c>
      <c r="CZ21" s="23">
        <f t="shared" si="34"/>
        <v>4000</v>
      </c>
    </row>
    <row r="22" spans="2:104" ht="13.5" hidden="1" thickBot="1">
      <c r="B22" s="20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4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BE22" s="53"/>
      <c r="BF22" s="53"/>
      <c r="BG22" s="34"/>
      <c r="BH22" s="35"/>
      <c r="BI22" s="58"/>
      <c r="BJ22" s="32"/>
      <c r="BK22" s="16"/>
      <c r="BL22" s="23"/>
      <c r="BM22" s="32"/>
      <c r="BN22" s="16"/>
      <c r="BO22" s="23"/>
      <c r="BP22" s="32"/>
      <c r="BQ22" s="16"/>
      <c r="BR22" s="23"/>
      <c r="BS22" s="32"/>
      <c r="BT22" s="16"/>
      <c r="BU22" s="72"/>
      <c r="BV22" s="32"/>
      <c r="BW22" s="16"/>
      <c r="BX22" s="72"/>
      <c r="CT22" s="32"/>
      <c r="CU22" s="16"/>
      <c r="CV22" s="16"/>
      <c r="CW22" s="16"/>
      <c r="CX22" s="16"/>
      <c r="CY22" s="12"/>
      <c r="CZ22" s="23"/>
    </row>
    <row r="23" spans="2:104" ht="13.5" hidden="1" thickBot="1">
      <c r="B23" s="20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4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BE23" s="53"/>
      <c r="BF23" s="53"/>
      <c r="BG23" s="34"/>
      <c r="BH23" s="35"/>
      <c r="BI23" s="58"/>
      <c r="BJ23" s="32"/>
      <c r="BK23" s="16"/>
      <c r="BL23" s="23"/>
      <c r="BM23" s="32"/>
      <c r="BN23" s="16"/>
      <c r="BO23" s="23"/>
      <c r="BP23" s="32"/>
      <c r="BQ23" s="16"/>
      <c r="BR23" s="23"/>
      <c r="BS23" s="32"/>
      <c r="BT23" s="16"/>
      <c r="BU23" s="72"/>
      <c r="BV23" s="32"/>
      <c r="BW23" s="16"/>
      <c r="BX23" s="72"/>
      <c r="CT23" s="32"/>
      <c r="CU23" s="16"/>
      <c r="CV23" s="16"/>
      <c r="CW23" s="16"/>
      <c r="CX23" s="16"/>
      <c r="CY23" s="12"/>
      <c r="CZ23" s="23"/>
    </row>
    <row r="24" spans="2:104" ht="13.5" hidden="1" thickBot="1">
      <c r="B24" s="20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4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BE24" s="53"/>
      <c r="BF24" s="53"/>
      <c r="BG24" s="34"/>
      <c r="BH24" s="35"/>
      <c r="BI24" s="58"/>
      <c r="BJ24" s="32"/>
      <c r="BK24" s="16"/>
      <c r="BL24" s="23"/>
      <c r="BM24" s="32"/>
      <c r="BN24" s="16"/>
      <c r="BO24" s="23"/>
      <c r="BP24" s="32"/>
      <c r="BQ24" s="16"/>
      <c r="BR24" s="23"/>
      <c r="BS24" s="32"/>
      <c r="BT24" s="16"/>
      <c r="BU24" s="72"/>
      <c r="BV24" s="32"/>
      <c r="BW24" s="16"/>
      <c r="BX24" s="72"/>
      <c r="CT24" s="32"/>
      <c r="CU24" s="16"/>
      <c r="CV24" s="16"/>
      <c r="CW24" s="16"/>
      <c r="CX24" s="16"/>
      <c r="CY24" s="12"/>
      <c r="CZ24" s="23"/>
    </row>
    <row r="25" spans="2:104" ht="13.5" hidden="1" thickBot="1">
      <c r="B25" s="20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4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BE25" s="53"/>
      <c r="BF25" s="53"/>
      <c r="BG25" s="34"/>
      <c r="BH25" s="35"/>
      <c r="BI25" s="58"/>
      <c r="BJ25" s="32"/>
      <c r="BK25" s="16"/>
      <c r="BL25" s="23"/>
      <c r="BM25" s="32"/>
      <c r="BN25" s="16"/>
      <c r="BO25" s="23"/>
      <c r="BP25" s="32"/>
      <c r="BQ25" s="16"/>
      <c r="BR25" s="23"/>
      <c r="BS25" s="32"/>
      <c r="BT25" s="16"/>
      <c r="BU25" s="72"/>
      <c r="BV25" s="32"/>
      <c r="BW25" s="16"/>
      <c r="BX25" s="72"/>
      <c r="CT25" s="32"/>
      <c r="CU25" s="16"/>
      <c r="CV25" s="16"/>
      <c r="CW25" s="16"/>
      <c r="CX25" s="16"/>
      <c r="CY25" s="12"/>
      <c r="CZ25" s="23"/>
    </row>
    <row r="26" spans="2:104" ht="13.5" hidden="1" thickBot="1">
      <c r="B26" s="20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4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BE26" s="53"/>
      <c r="BF26" s="53"/>
      <c r="BG26" s="34"/>
      <c r="BH26" s="35"/>
      <c r="BI26" s="58"/>
      <c r="BJ26" s="32"/>
      <c r="BK26" s="16"/>
      <c r="BL26" s="23"/>
      <c r="BM26" s="32"/>
      <c r="BN26" s="16"/>
      <c r="BO26" s="23"/>
      <c r="BP26" s="32"/>
      <c r="BQ26" s="16"/>
      <c r="BR26" s="23"/>
      <c r="BS26" s="32"/>
      <c r="BT26" s="16"/>
      <c r="BU26" s="72"/>
      <c r="BV26" s="32"/>
      <c r="BW26" s="16"/>
      <c r="BX26" s="72"/>
      <c r="CT26" s="32"/>
      <c r="CU26" s="16"/>
      <c r="CV26" s="16"/>
      <c r="CW26" s="16"/>
      <c r="CX26" s="16"/>
      <c r="CY26" s="12"/>
      <c r="CZ26" s="23"/>
    </row>
    <row r="27" spans="2:104" ht="13.5" hidden="1" thickBot="1">
      <c r="B27" s="20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4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BE27" s="53"/>
      <c r="BF27" s="53"/>
      <c r="BG27" s="34"/>
      <c r="BH27" s="35"/>
      <c r="BI27" s="58"/>
      <c r="BJ27" s="32"/>
      <c r="BK27" s="16"/>
      <c r="BL27" s="23"/>
      <c r="BM27" s="32"/>
      <c r="BN27" s="16"/>
      <c r="BO27" s="23"/>
      <c r="BP27" s="32"/>
      <c r="BQ27" s="16"/>
      <c r="BR27" s="23"/>
      <c r="BS27" s="32"/>
      <c r="BT27" s="16"/>
      <c r="BU27" s="72"/>
      <c r="BV27" s="32"/>
      <c r="BW27" s="16"/>
      <c r="BX27" s="72"/>
      <c r="CT27" s="32"/>
      <c r="CU27" s="16"/>
      <c r="CV27" s="16"/>
      <c r="CW27" s="16"/>
      <c r="CX27" s="16"/>
      <c r="CY27" s="12"/>
      <c r="CZ27" s="23"/>
    </row>
    <row r="28" spans="2:104" ht="13.5" hidden="1" thickBot="1">
      <c r="B28" s="20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4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BE28" s="53"/>
      <c r="BF28" s="53"/>
      <c r="BG28" s="34"/>
      <c r="BH28" s="35"/>
      <c r="BI28" s="58"/>
      <c r="BJ28" s="32"/>
      <c r="BK28" s="16"/>
      <c r="BL28" s="23"/>
      <c r="BM28" s="32"/>
      <c r="BN28" s="16"/>
      <c r="BO28" s="23"/>
      <c r="BP28" s="32"/>
      <c r="BQ28" s="16"/>
      <c r="BR28" s="23"/>
      <c r="BS28" s="32"/>
      <c r="BT28" s="16"/>
      <c r="BU28" s="72"/>
      <c r="BV28" s="32"/>
      <c r="BW28" s="16"/>
      <c r="BX28" s="72"/>
      <c r="CT28" s="32"/>
      <c r="CU28" s="16"/>
      <c r="CV28" s="16"/>
      <c r="CW28" s="16"/>
      <c r="CX28" s="16"/>
      <c r="CY28" s="12"/>
      <c r="CZ28" s="23"/>
    </row>
    <row r="29" spans="2:104" ht="13.5" hidden="1" thickBot="1">
      <c r="B29" s="20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4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BE29" s="53"/>
      <c r="BF29" s="53"/>
      <c r="BG29" s="34"/>
      <c r="BH29" s="35"/>
      <c r="BI29" s="58"/>
      <c r="BJ29" s="32"/>
      <c r="BK29" s="16"/>
      <c r="BL29" s="23"/>
      <c r="BM29" s="32"/>
      <c r="BN29" s="16"/>
      <c r="BO29" s="23"/>
      <c r="BP29" s="32"/>
      <c r="BQ29" s="16"/>
      <c r="BR29" s="23"/>
      <c r="BS29" s="32"/>
      <c r="BT29" s="16"/>
      <c r="BU29" s="72"/>
      <c r="BV29" s="32"/>
      <c r="BW29" s="16"/>
      <c r="BX29" s="72"/>
      <c r="CT29" s="32"/>
      <c r="CU29" s="16"/>
      <c r="CV29" s="16"/>
      <c r="CW29" s="16"/>
      <c r="CX29" s="16"/>
      <c r="CY29" s="12"/>
      <c r="CZ29" s="23"/>
    </row>
    <row r="30" spans="2:104" ht="13.5" hidden="1" thickBot="1">
      <c r="B30" s="20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4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BE30" s="53"/>
      <c r="BF30" s="53"/>
      <c r="BG30" s="34"/>
      <c r="BH30" s="35"/>
      <c r="BI30" s="58"/>
      <c r="BJ30" s="32"/>
      <c r="BK30" s="16"/>
      <c r="BL30" s="23"/>
      <c r="BM30" s="32"/>
      <c r="BN30" s="16"/>
      <c r="BO30" s="23"/>
      <c r="BP30" s="32"/>
      <c r="BQ30" s="16"/>
      <c r="BR30" s="23"/>
      <c r="BS30" s="32"/>
      <c r="BT30" s="16"/>
      <c r="BU30" s="72"/>
      <c r="BV30" s="32"/>
      <c r="BW30" s="16"/>
      <c r="BX30" s="72"/>
      <c r="CT30" s="32"/>
      <c r="CU30" s="16"/>
      <c r="CV30" s="16"/>
      <c r="CW30" s="16"/>
      <c r="CX30" s="16"/>
      <c r="CY30" s="12"/>
      <c r="CZ30" s="23"/>
    </row>
    <row r="31" spans="2:104" ht="13.5" hidden="1" thickBot="1">
      <c r="B31" s="20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4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BE31" s="53"/>
      <c r="BF31" s="53"/>
      <c r="BG31" s="34"/>
      <c r="BH31" s="35"/>
      <c r="BI31" s="58"/>
      <c r="BJ31" s="32"/>
      <c r="BK31" s="16"/>
      <c r="BL31" s="23"/>
      <c r="BM31" s="32"/>
      <c r="BN31" s="16"/>
      <c r="BO31" s="23"/>
      <c r="BP31" s="32"/>
      <c r="BQ31" s="16"/>
      <c r="BR31" s="23"/>
      <c r="BS31" s="32"/>
      <c r="BT31" s="16"/>
      <c r="BU31" s="72"/>
      <c r="BV31" s="32"/>
      <c r="BW31" s="16"/>
      <c r="BX31" s="72"/>
      <c r="CT31" s="32"/>
      <c r="CU31" s="16"/>
      <c r="CV31" s="16"/>
      <c r="CW31" s="16"/>
      <c r="CX31" s="16"/>
      <c r="CY31" s="12"/>
      <c r="CZ31" s="23"/>
    </row>
    <row r="32" spans="2:104" ht="13.5" hidden="1" thickBot="1">
      <c r="B32" s="20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4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BE32" s="53"/>
      <c r="BF32" s="53"/>
      <c r="BG32" s="34"/>
      <c r="BH32" s="35"/>
      <c r="BI32" s="58"/>
      <c r="BJ32" s="32"/>
      <c r="BK32" s="16"/>
      <c r="BL32" s="23"/>
      <c r="BM32" s="32"/>
      <c r="BN32" s="16"/>
      <c r="BO32" s="23"/>
      <c r="BP32" s="32"/>
      <c r="BQ32" s="16"/>
      <c r="BR32" s="23"/>
      <c r="BS32" s="32"/>
      <c r="BT32" s="16"/>
      <c r="BU32" s="72"/>
      <c r="BV32" s="32"/>
      <c r="BW32" s="16"/>
      <c r="BX32" s="72"/>
      <c r="CT32" s="32"/>
      <c r="CU32" s="16"/>
      <c r="CV32" s="16"/>
      <c r="CW32" s="16"/>
      <c r="CX32" s="16"/>
      <c r="CY32" s="12"/>
      <c r="CZ32" s="23"/>
    </row>
    <row r="33" spans="2:104" ht="13.5" hidden="1" thickBot="1">
      <c r="B33" s="20"/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4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BE33" s="53"/>
      <c r="BF33" s="53"/>
      <c r="BG33" s="34"/>
      <c r="BH33" s="35"/>
      <c r="BI33" s="58"/>
      <c r="BJ33" s="32"/>
      <c r="BK33" s="16"/>
      <c r="BL33" s="23"/>
      <c r="BM33" s="32"/>
      <c r="BN33" s="16"/>
      <c r="BO33" s="23"/>
      <c r="BP33" s="32"/>
      <c r="BQ33" s="16"/>
      <c r="BR33" s="23"/>
      <c r="BS33" s="32"/>
      <c r="BT33" s="16"/>
      <c r="BU33" s="72"/>
      <c r="BV33" s="32"/>
      <c r="BW33" s="16"/>
      <c r="BX33" s="72"/>
      <c r="CT33" s="32"/>
      <c r="CU33" s="16"/>
      <c r="CV33" s="16"/>
      <c r="CW33" s="16"/>
      <c r="CX33" s="16"/>
      <c r="CY33" s="12"/>
      <c r="CZ33" s="23"/>
    </row>
    <row r="34" spans="2:104" ht="13.5" hidden="1" thickBot="1">
      <c r="B34" s="20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4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BE34" s="53"/>
      <c r="BF34" s="53"/>
      <c r="BG34" s="34"/>
      <c r="BH34" s="35"/>
      <c r="BI34" s="58"/>
      <c r="BJ34" s="32"/>
      <c r="BK34" s="16"/>
      <c r="BL34" s="23"/>
      <c r="BM34" s="32"/>
      <c r="BN34" s="16"/>
      <c r="BO34" s="23"/>
      <c r="BP34" s="32"/>
      <c r="BQ34" s="16"/>
      <c r="BR34" s="23"/>
      <c r="BS34" s="32"/>
      <c r="BT34" s="16"/>
      <c r="BU34" s="72"/>
      <c r="BV34" s="32"/>
      <c r="BW34" s="16"/>
      <c r="BX34" s="72"/>
      <c r="CT34" s="32"/>
      <c r="CU34" s="16"/>
      <c r="CV34" s="16"/>
      <c r="CW34" s="16"/>
      <c r="CX34" s="16"/>
      <c r="CY34" s="12"/>
      <c r="CZ34" s="23"/>
    </row>
    <row r="35" spans="2:104" ht="13.5" hidden="1" thickBot="1">
      <c r="B35" s="20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4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BE35" s="53"/>
      <c r="BF35" s="53"/>
      <c r="BG35" s="34"/>
      <c r="BH35" s="35"/>
      <c r="BI35" s="58"/>
      <c r="BJ35" s="32"/>
      <c r="BK35" s="16"/>
      <c r="BL35" s="23"/>
      <c r="BM35" s="32"/>
      <c r="BN35" s="16"/>
      <c r="BO35" s="23"/>
      <c r="BP35" s="32"/>
      <c r="BQ35" s="16"/>
      <c r="BR35" s="23"/>
      <c r="BS35" s="32"/>
      <c r="BT35" s="16"/>
      <c r="BU35" s="72"/>
      <c r="BV35" s="32"/>
      <c r="BW35" s="16"/>
      <c r="BX35" s="72"/>
      <c r="CT35" s="32"/>
      <c r="CU35" s="16"/>
      <c r="CV35" s="16"/>
      <c r="CW35" s="16"/>
      <c r="CX35" s="16"/>
      <c r="CY35" s="12"/>
      <c r="CZ35" s="23"/>
    </row>
    <row r="36" spans="2:104" ht="13.5" hidden="1" thickBot="1">
      <c r="B36" s="20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4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BE36" s="53"/>
      <c r="BF36" s="53"/>
      <c r="BG36" s="34"/>
      <c r="BH36" s="35"/>
      <c r="BI36" s="58"/>
      <c r="BJ36" s="32"/>
      <c r="BK36" s="16"/>
      <c r="BL36" s="23"/>
      <c r="BM36" s="32"/>
      <c r="BN36" s="16"/>
      <c r="BO36" s="23"/>
      <c r="BP36" s="32"/>
      <c r="BQ36" s="16"/>
      <c r="BR36" s="23"/>
      <c r="BS36" s="32"/>
      <c r="BT36" s="16"/>
      <c r="BU36" s="72"/>
      <c r="BV36" s="32"/>
      <c r="BW36" s="16"/>
      <c r="BX36" s="72"/>
      <c r="CT36" s="32"/>
      <c r="CU36" s="16"/>
      <c r="CV36" s="16"/>
      <c r="CW36" s="16"/>
      <c r="CX36" s="16"/>
      <c r="CY36" s="12"/>
      <c r="CZ36" s="23"/>
    </row>
    <row r="37" spans="2:104" ht="13.5" hidden="1" thickBot="1">
      <c r="B37" s="20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4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BE37" s="53"/>
      <c r="BF37" s="53"/>
      <c r="BG37" s="34"/>
      <c r="BH37" s="35"/>
      <c r="BI37" s="58"/>
      <c r="BJ37" s="32"/>
      <c r="BK37" s="16"/>
      <c r="BL37" s="23"/>
      <c r="BM37" s="32"/>
      <c r="BN37" s="16"/>
      <c r="BO37" s="23"/>
      <c r="BP37" s="32"/>
      <c r="BQ37" s="16"/>
      <c r="BR37" s="23"/>
      <c r="BS37" s="32"/>
      <c r="BT37" s="16"/>
      <c r="BU37" s="72"/>
      <c r="BV37" s="32"/>
      <c r="BW37" s="16"/>
      <c r="BX37" s="72"/>
      <c r="CT37" s="32"/>
      <c r="CU37" s="16"/>
      <c r="CV37" s="16"/>
      <c r="CW37" s="16"/>
      <c r="CX37" s="16"/>
      <c r="CY37" s="12"/>
      <c r="CZ37" s="23"/>
    </row>
    <row r="38" spans="2:104" ht="13.5" hidden="1" thickBot="1">
      <c r="B38" s="20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4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BE38" s="53"/>
      <c r="BF38" s="53"/>
      <c r="BG38" s="34"/>
      <c r="BH38" s="35"/>
      <c r="BI38" s="58"/>
      <c r="BJ38" s="32"/>
      <c r="BK38" s="16"/>
      <c r="BL38" s="23"/>
      <c r="BM38" s="32"/>
      <c r="BN38" s="16"/>
      <c r="BO38" s="23"/>
      <c r="BP38" s="32"/>
      <c r="BQ38" s="16"/>
      <c r="BR38" s="23"/>
      <c r="BS38" s="32"/>
      <c r="BT38" s="16"/>
      <c r="BU38" s="72"/>
      <c r="BV38" s="32"/>
      <c r="BW38" s="16"/>
      <c r="BX38" s="72"/>
      <c r="CT38" s="32"/>
      <c r="CU38" s="16"/>
      <c r="CV38" s="16"/>
      <c r="CW38" s="16"/>
      <c r="CX38" s="16"/>
      <c r="CY38" s="12"/>
      <c r="CZ38" s="23"/>
    </row>
    <row r="39" spans="2:104" ht="13.5" hidden="1" thickBot="1">
      <c r="B39" s="20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4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BE39" s="53"/>
      <c r="BF39" s="53"/>
      <c r="BG39" s="34"/>
      <c r="BH39" s="35"/>
      <c r="BI39" s="58"/>
      <c r="BJ39" s="32"/>
      <c r="BK39" s="16"/>
      <c r="BL39" s="23"/>
      <c r="BM39" s="32"/>
      <c r="BN39" s="16"/>
      <c r="BO39" s="23"/>
      <c r="BP39" s="32"/>
      <c r="BQ39" s="16"/>
      <c r="BR39" s="23"/>
      <c r="BS39" s="32"/>
      <c r="BT39" s="16"/>
      <c r="BU39" s="72"/>
      <c r="BV39" s="32"/>
      <c r="BW39" s="16"/>
      <c r="BX39" s="72"/>
      <c r="CT39" s="32"/>
      <c r="CU39" s="16"/>
      <c r="CV39" s="16"/>
      <c r="CW39" s="16"/>
      <c r="CX39" s="16"/>
      <c r="CY39" s="12"/>
      <c r="CZ39" s="23"/>
    </row>
    <row r="40" spans="2:104" ht="13.5" hidden="1" thickBot="1">
      <c r="B40" s="20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4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BE40" s="53"/>
      <c r="BF40" s="53"/>
      <c r="BG40" s="34"/>
      <c r="BH40" s="35"/>
      <c r="BI40" s="58"/>
      <c r="BJ40" s="32"/>
      <c r="BK40" s="16"/>
      <c r="BL40" s="23"/>
      <c r="BM40" s="32"/>
      <c r="BN40" s="16"/>
      <c r="BO40" s="23"/>
      <c r="BP40" s="32"/>
      <c r="BQ40" s="16"/>
      <c r="BR40" s="23"/>
      <c r="BS40" s="32"/>
      <c r="BT40" s="16"/>
      <c r="BU40" s="72"/>
      <c r="BV40" s="32"/>
      <c r="BW40" s="16"/>
      <c r="BX40" s="72"/>
      <c r="CT40" s="32"/>
      <c r="CU40" s="16"/>
      <c r="CV40" s="16"/>
      <c r="CW40" s="16"/>
      <c r="CX40" s="16"/>
      <c r="CY40" s="12"/>
      <c r="CZ40" s="23"/>
    </row>
    <row r="41" spans="2:104" ht="13.5" hidden="1" thickBot="1">
      <c r="B41" s="20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4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BE41" s="53"/>
      <c r="BF41" s="53"/>
      <c r="BG41" s="34"/>
      <c r="BH41" s="35"/>
      <c r="BI41" s="58"/>
      <c r="BJ41" s="32"/>
      <c r="BK41" s="16"/>
      <c r="BL41" s="23"/>
      <c r="BM41" s="32"/>
      <c r="BN41" s="16"/>
      <c r="BO41" s="23"/>
      <c r="BP41" s="32"/>
      <c r="BQ41" s="16"/>
      <c r="BR41" s="23"/>
      <c r="BS41" s="32"/>
      <c r="BT41" s="16"/>
      <c r="BU41" s="72"/>
      <c r="BV41" s="32"/>
      <c r="BW41" s="16"/>
      <c r="BX41" s="72"/>
      <c r="CT41" s="32"/>
      <c r="CU41" s="16"/>
      <c r="CV41" s="16"/>
      <c r="CW41" s="16"/>
      <c r="CX41" s="16"/>
      <c r="CY41" s="12"/>
      <c r="CZ41" s="23"/>
    </row>
    <row r="42" spans="2:104" ht="13.5" hidden="1" thickBot="1">
      <c r="B42" s="20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4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BE42" s="53"/>
      <c r="BF42" s="53"/>
      <c r="BG42" s="34"/>
      <c r="BH42" s="35"/>
      <c r="BI42" s="58"/>
      <c r="BJ42" s="32"/>
      <c r="BK42" s="16"/>
      <c r="BL42" s="23"/>
      <c r="BM42" s="32"/>
      <c r="BN42" s="16"/>
      <c r="BO42" s="23"/>
      <c r="BP42" s="32"/>
      <c r="BQ42" s="16"/>
      <c r="BR42" s="23"/>
      <c r="BS42" s="32"/>
      <c r="BT42" s="16"/>
      <c r="BU42" s="72"/>
      <c r="BV42" s="32"/>
      <c r="BW42" s="16"/>
      <c r="BX42" s="72"/>
      <c r="CT42" s="32"/>
      <c r="CU42" s="16"/>
      <c r="CV42" s="16"/>
      <c r="CW42" s="16"/>
      <c r="CX42" s="16"/>
      <c r="CY42" s="12"/>
      <c r="CZ42" s="23"/>
    </row>
    <row r="43" spans="2:104" ht="13.5" hidden="1" thickBot="1">
      <c r="B43" s="20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4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BE43" s="53"/>
      <c r="BF43" s="53"/>
      <c r="BG43" s="34"/>
      <c r="BH43" s="35"/>
      <c r="BI43" s="58"/>
      <c r="BJ43" s="32"/>
      <c r="BK43" s="16"/>
      <c r="BL43" s="23"/>
      <c r="BM43" s="32"/>
      <c r="BN43" s="16"/>
      <c r="BO43" s="23"/>
      <c r="BP43" s="32"/>
      <c r="BQ43" s="16"/>
      <c r="BR43" s="23"/>
      <c r="BS43" s="32"/>
      <c r="BT43" s="16"/>
      <c r="BU43" s="72"/>
      <c r="BV43" s="32"/>
      <c r="BW43" s="16"/>
      <c r="BX43" s="72"/>
      <c r="CT43" s="32"/>
      <c r="CU43" s="16"/>
      <c r="CV43" s="16"/>
      <c r="CW43" s="16"/>
      <c r="CX43" s="16"/>
      <c r="CY43" s="12"/>
      <c r="CZ43" s="23"/>
    </row>
    <row r="44" spans="2:104" ht="13.5" hidden="1" thickBot="1">
      <c r="B44" s="20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4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BE44" s="53"/>
      <c r="BF44" s="53"/>
      <c r="BG44" s="34"/>
      <c r="BH44" s="35"/>
      <c r="BI44" s="58"/>
      <c r="BJ44" s="32"/>
      <c r="BK44" s="16"/>
      <c r="BL44" s="23"/>
      <c r="BM44" s="32"/>
      <c r="BN44" s="16"/>
      <c r="BO44" s="23"/>
      <c r="BP44" s="32"/>
      <c r="BQ44" s="16"/>
      <c r="BR44" s="23"/>
      <c r="BS44" s="32"/>
      <c r="BT44" s="16"/>
      <c r="BU44" s="72"/>
      <c r="BV44" s="32"/>
      <c r="BW44" s="16"/>
      <c r="BX44" s="72"/>
      <c r="CT44" s="32"/>
      <c r="CU44" s="16"/>
      <c r="CV44" s="16"/>
      <c r="CW44" s="16"/>
      <c r="CX44" s="16"/>
      <c r="CY44" s="12"/>
      <c r="CZ44" s="23"/>
    </row>
    <row r="45" spans="2:104" ht="13.5" hidden="1" thickBot="1">
      <c r="B45" s="20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4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BE45" s="53"/>
      <c r="BF45" s="53"/>
      <c r="BG45" s="34"/>
      <c r="BH45" s="35"/>
      <c r="BI45" s="58"/>
      <c r="BJ45" s="32"/>
      <c r="BK45" s="16"/>
      <c r="BL45" s="23"/>
      <c r="BM45" s="32"/>
      <c r="BN45" s="16"/>
      <c r="BO45" s="23"/>
      <c r="BP45" s="32"/>
      <c r="BQ45" s="16"/>
      <c r="BR45" s="23"/>
      <c r="BS45" s="32"/>
      <c r="BT45" s="16"/>
      <c r="BU45" s="72"/>
      <c r="BV45" s="32"/>
      <c r="BW45" s="16"/>
      <c r="BX45" s="72"/>
      <c r="CT45" s="32"/>
      <c r="CU45" s="16"/>
      <c r="CV45" s="16"/>
      <c r="CW45" s="16"/>
      <c r="CX45" s="16"/>
      <c r="CY45" s="12"/>
      <c r="CZ45" s="23"/>
    </row>
    <row r="46" spans="2:104" ht="13.5" hidden="1" thickBot="1">
      <c r="B46" s="20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4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BE46" s="53"/>
      <c r="BF46" s="53"/>
      <c r="BG46" s="34"/>
      <c r="BH46" s="35"/>
      <c r="BI46" s="58"/>
      <c r="BJ46" s="32"/>
      <c r="BK46" s="16"/>
      <c r="BL46" s="23"/>
      <c r="BM46" s="32"/>
      <c r="BN46" s="16"/>
      <c r="BO46" s="23"/>
      <c r="BP46" s="32"/>
      <c r="BQ46" s="16"/>
      <c r="BR46" s="23"/>
      <c r="BS46" s="32"/>
      <c r="BT46" s="16"/>
      <c r="BU46" s="72"/>
      <c r="BV46" s="32"/>
      <c r="BW46" s="16"/>
      <c r="BX46" s="72"/>
      <c r="CT46" s="32"/>
      <c r="CU46" s="16"/>
      <c r="CV46" s="16"/>
      <c r="CW46" s="16"/>
      <c r="CX46" s="16"/>
      <c r="CY46" s="12"/>
      <c r="CZ46" s="23"/>
    </row>
    <row r="47" spans="2:104" ht="13.5" hidden="1" thickBot="1">
      <c r="B47" s="20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4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BE47" s="53"/>
      <c r="BF47" s="53"/>
      <c r="BG47" s="34"/>
      <c r="BH47" s="35"/>
      <c r="BI47" s="58"/>
      <c r="BJ47" s="32"/>
      <c r="BK47" s="16"/>
      <c r="BL47" s="23"/>
      <c r="BM47" s="32"/>
      <c r="BN47" s="16"/>
      <c r="BO47" s="23"/>
      <c r="BP47" s="32"/>
      <c r="BQ47" s="16"/>
      <c r="BR47" s="23"/>
      <c r="BS47" s="32"/>
      <c r="BT47" s="16"/>
      <c r="BU47" s="72"/>
      <c r="BV47" s="32"/>
      <c r="BW47" s="16"/>
      <c r="BX47" s="72"/>
      <c r="CT47" s="32"/>
      <c r="CU47" s="16"/>
      <c r="CV47" s="16"/>
      <c r="CW47" s="16"/>
      <c r="CX47" s="16"/>
      <c r="CY47" s="12"/>
      <c r="CZ47" s="23"/>
    </row>
    <row r="48" spans="2:104" ht="13.5" hidden="1" thickBot="1">
      <c r="B48" s="20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4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BE48" s="53"/>
      <c r="BF48" s="53"/>
      <c r="BG48" s="34"/>
      <c r="BH48" s="35"/>
      <c r="BI48" s="58"/>
      <c r="BJ48" s="32"/>
      <c r="BK48" s="16"/>
      <c r="BL48" s="23"/>
      <c r="BM48" s="32"/>
      <c r="BN48" s="16"/>
      <c r="BO48" s="23"/>
      <c r="BP48" s="32"/>
      <c r="BQ48" s="16"/>
      <c r="BR48" s="23"/>
      <c r="BS48" s="32"/>
      <c r="BT48" s="16"/>
      <c r="BU48" s="72"/>
      <c r="BV48" s="32"/>
      <c r="BW48" s="16"/>
      <c r="BX48" s="72"/>
      <c r="CT48" s="32"/>
      <c r="CU48" s="16"/>
      <c r="CV48" s="16"/>
      <c r="CW48" s="16"/>
      <c r="CX48" s="16"/>
      <c r="CY48" s="12"/>
      <c r="CZ48" s="23"/>
    </row>
    <row r="49" spans="2:104" ht="13.5" hidden="1" thickBot="1">
      <c r="B49" s="20"/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4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BE49" s="53"/>
      <c r="BF49" s="53"/>
      <c r="BG49" s="34"/>
      <c r="BH49" s="35"/>
      <c r="BI49" s="58"/>
      <c r="BJ49" s="32"/>
      <c r="BK49" s="16"/>
      <c r="BL49" s="23"/>
      <c r="BM49" s="32"/>
      <c r="BN49" s="16"/>
      <c r="BO49" s="23"/>
      <c r="BP49" s="32"/>
      <c r="BQ49" s="16"/>
      <c r="BR49" s="23"/>
      <c r="BS49" s="32"/>
      <c r="BT49" s="16"/>
      <c r="BU49" s="72"/>
      <c r="BV49" s="32"/>
      <c r="BW49" s="16"/>
      <c r="BX49" s="72"/>
      <c r="CT49" s="32"/>
      <c r="CU49" s="16"/>
      <c r="CV49" s="16"/>
      <c r="CW49" s="16"/>
      <c r="CX49" s="16"/>
      <c r="CY49" s="12"/>
      <c r="CZ49" s="23"/>
    </row>
    <row r="50" spans="2:104" ht="13.5" hidden="1" thickBot="1">
      <c r="B50" s="20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4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BE50" s="53"/>
      <c r="BF50" s="53"/>
      <c r="BG50" s="34"/>
      <c r="BH50" s="35"/>
      <c r="BI50" s="58"/>
      <c r="BJ50" s="32"/>
      <c r="BK50" s="16"/>
      <c r="BL50" s="23"/>
      <c r="BM50" s="32"/>
      <c r="BN50" s="16"/>
      <c r="BO50" s="23"/>
      <c r="BP50" s="32"/>
      <c r="BQ50" s="16"/>
      <c r="BR50" s="23"/>
      <c r="BS50" s="32"/>
      <c r="BT50" s="16"/>
      <c r="BU50" s="72"/>
      <c r="BV50" s="32"/>
      <c r="BW50" s="16"/>
      <c r="BX50" s="72"/>
      <c r="CT50" s="32"/>
      <c r="CU50" s="16"/>
      <c r="CV50" s="16"/>
      <c r="CW50" s="16"/>
      <c r="CX50" s="16"/>
      <c r="CY50" s="12"/>
      <c r="CZ50" s="23"/>
    </row>
    <row r="51" spans="2:104" ht="13.5" hidden="1" thickBot="1">
      <c r="B51" s="20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4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BE51" s="53"/>
      <c r="BF51" s="53"/>
      <c r="BG51" s="34"/>
      <c r="BH51" s="35"/>
      <c r="BI51" s="58"/>
      <c r="BJ51" s="32"/>
      <c r="BK51" s="16"/>
      <c r="BL51" s="23"/>
      <c r="BM51" s="32"/>
      <c r="BN51" s="16"/>
      <c r="BO51" s="23"/>
      <c r="BP51" s="32"/>
      <c r="BQ51" s="16"/>
      <c r="BR51" s="23"/>
      <c r="BS51" s="32"/>
      <c r="BT51" s="16"/>
      <c r="BU51" s="72"/>
      <c r="BV51" s="32"/>
      <c r="BW51" s="16"/>
      <c r="BX51" s="72"/>
      <c r="CT51" s="32"/>
      <c r="CU51" s="16"/>
      <c r="CV51" s="16"/>
      <c r="CW51" s="16"/>
      <c r="CX51" s="16"/>
      <c r="CY51" s="12"/>
      <c r="CZ51" s="23"/>
    </row>
    <row r="52" spans="2:104" ht="13.5" hidden="1" thickBot="1">
      <c r="B52" s="20"/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4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BE52" s="53"/>
      <c r="BF52" s="53"/>
      <c r="BG52" s="34"/>
      <c r="BH52" s="35"/>
      <c r="BI52" s="58"/>
      <c r="BJ52" s="32"/>
      <c r="BK52" s="16"/>
      <c r="BL52" s="23"/>
      <c r="BM52" s="32"/>
      <c r="BN52" s="16"/>
      <c r="BO52" s="23"/>
      <c r="BP52" s="32"/>
      <c r="BQ52" s="16"/>
      <c r="BR52" s="23"/>
      <c r="BS52" s="32"/>
      <c r="BT52" s="16"/>
      <c r="BU52" s="72"/>
      <c r="BV52" s="32"/>
      <c r="BW52" s="16"/>
      <c r="BX52" s="72"/>
      <c r="CT52" s="32"/>
      <c r="CU52" s="16"/>
      <c r="CV52" s="16"/>
      <c r="CW52" s="16"/>
      <c r="CX52" s="16"/>
      <c r="CY52" s="12"/>
      <c r="CZ52" s="23"/>
    </row>
    <row r="53" spans="2:104" ht="13.5" thickBot="1">
      <c r="B53" s="20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4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BE53" s="53"/>
      <c r="BF53" s="53"/>
      <c r="BG53" s="34"/>
      <c r="BH53" s="35"/>
      <c r="BI53" s="58"/>
      <c r="BJ53" s="32"/>
      <c r="BK53" s="16"/>
      <c r="BL53" s="23"/>
      <c r="BM53" s="32"/>
      <c r="BN53" s="16"/>
      <c r="BO53" s="23"/>
      <c r="BP53" s="32"/>
      <c r="BQ53" s="16"/>
      <c r="BR53" s="23"/>
      <c r="BS53" s="32"/>
      <c r="BT53" s="16"/>
      <c r="BU53" s="72"/>
      <c r="BV53" s="32"/>
      <c r="BW53" s="16"/>
      <c r="BX53" s="72"/>
      <c r="CT53" s="32"/>
      <c r="CU53" s="16"/>
      <c r="CV53" s="16"/>
      <c r="CW53" s="16"/>
      <c r="CX53" s="16"/>
      <c r="CY53" s="12"/>
      <c r="CZ53" s="23"/>
    </row>
    <row r="54" spans="2:104" ht="13.5" thickBot="1">
      <c r="B54" s="76" t="s">
        <v>76</v>
      </c>
      <c r="C54" s="73"/>
      <c r="D54" s="73"/>
      <c r="E54" s="73"/>
      <c r="F54" s="73"/>
      <c r="G54" s="73"/>
      <c r="H54" s="73"/>
      <c r="I54" s="73"/>
      <c r="J54" s="73" t="s">
        <v>23</v>
      </c>
      <c r="K54" s="73"/>
      <c r="L54" s="73">
        <f>I21*D63*D64</f>
        <v>246720</v>
      </c>
      <c r="M54" s="77" t="s">
        <v>31</v>
      </c>
      <c r="N54" s="1">
        <v>10</v>
      </c>
      <c r="O54" s="78" t="s">
        <v>43</v>
      </c>
      <c r="P54" s="78"/>
      <c r="Q54" s="78"/>
      <c r="R54" s="78"/>
      <c r="S54" s="78"/>
      <c r="T54" s="78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BE54" s="7"/>
      <c r="BF54" s="95"/>
      <c r="BG54" s="100" t="e">
        <f>(#REF!/BD13)</f>
        <v>#REF!</v>
      </c>
      <c r="BH54" s="96"/>
      <c r="BI54" s="97"/>
      <c r="BJ54" s="8"/>
      <c r="BK54" s="100" t="e">
        <f>(#REF!/$BD$13)</f>
        <v>#REF!</v>
      </c>
      <c r="BL54" s="8"/>
      <c r="BM54" s="8"/>
      <c r="BN54" s="100" t="e">
        <f>(#REF!/$BD$13)</f>
        <v>#REF!</v>
      </c>
      <c r="BO54" s="8"/>
      <c r="BP54" s="8"/>
      <c r="BQ54" s="100" t="e">
        <f>(#REF!/$BD$13)</f>
        <v>#REF!</v>
      </c>
      <c r="BR54" s="8"/>
      <c r="BS54" s="8"/>
      <c r="BT54" s="100" t="e">
        <f>(#REF!/$BD$13)</f>
        <v>#REF!</v>
      </c>
      <c r="BU54" s="98"/>
      <c r="BV54" s="8"/>
      <c r="BW54" s="100" t="e">
        <f>(#REF!/$BD$13)</f>
        <v>#REF!</v>
      </c>
      <c r="BX54" s="99"/>
      <c r="CU54" s="4" t="e">
        <f>ABS(#REF!)</f>
        <v>#REF!</v>
      </c>
    </row>
    <row r="55" spans="2:104">
      <c r="B55" s="76" t="s">
        <v>59</v>
      </c>
      <c r="C55" s="73"/>
      <c r="D55" s="73"/>
      <c r="E55" s="73"/>
      <c r="F55" s="73"/>
      <c r="G55" s="73"/>
      <c r="H55" s="73"/>
      <c r="I55" s="73"/>
      <c r="J55" s="73"/>
      <c r="K55" s="73"/>
      <c r="L55" s="73">
        <f>(I21/(C75*C70))*D64</f>
        <v>9.3454545454545457</v>
      </c>
      <c r="M55" s="77" t="s">
        <v>31</v>
      </c>
      <c r="N55" s="1">
        <v>4</v>
      </c>
      <c r="O55" s="78" t="s">
        <v>44</v>
      </c>
      <c r="P55" s="78"/>
      <c r="Q55" s="78"/>
      <c r="R55" s="78"/>
      <c r="S55" s="78"/>
      <c r="T55" s="78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2:104">
      <c r="B56" s="20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7"/>
      <c r="N56" s="1"/>
      <c r="O56" s="78"/>
      <c r="P56" s="78"/>
      <c r="Q56" s="78"/>
      <c r="R56" s="78"/>
      <c r="S56" s="78"/>
      <c r="T56" s="78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BF56" s="28"/>
      <c r="BG56" s="28"/>
      <c r="BI56" s="79"/>
    </row>
    <row r="57" spans="2:104">
      <c r="B57" s="20"/>
      <c r="C57" s="73"/>
      <c r="D57" s="73"/>
      <c r="E57" s="73"/>
      <c r="F57" s="73"/>
      <c r="G57" s="73"/>
      <c r="H57" s="73"/>
      <c r="I57" s="73"/>
      <c r="J57" s="73" t="s">
        <v>24</v>
      </c>
      <c r="K57" s="73"/>
      <c r="L57" s="73">
        <f>J21*D63*D64</f>
        <v>268800</v>
      </c>
      <c r="M57" s="77" t="s">
        <v>31</v>
      </c>
      <c r="N57" s="1">
        <v>10</v>
      </c>
      <c r="O57" s="78" t="s">
        <v>43</v>
      </c>
      <c r="P57" s="78"/>
      <c r="Q57" s="78"/>
      <c r="R57" s="78"/>
      <c r="S57" s="78"/>
      <c r="T57" s="78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G57" s="107"/>
    </row>
    <row r="58" spans="2:104">
      <c r="B58" s="20"/>
      <c r="C58" s="73"/>
      <c r="D58" s="73"/>
      <c r="E58" s="73"/>
      <c r="F58" s="73"/>
      <c r="G58" s="73"/>
      <c r="H58" s="73"/>
      <c r="I58" s="73"/>
      <c r="J58" s="73"/>
      <c r="K58" s="73"/>
      <c r="L58" s="73">
        <f>(J21/(C75*C70))*D64</f>
        <v>10.181818181818182</v>
      </c>
      <c r="M58" s="77" t="s">
        <v>31</v>
      </c>
      <c r="N58" s="1">
        <v>6</v>
      </c>
      <c r="O58" s="78" t="s">
        <v>44</v>
      </c>
      <c r="P58" s="78"/>
      <c r="Q58" s="78"/>
      <c r="R58" s="78"/>
      <c r="S58" s="78"/>
      <c r="T58" s="78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G58" s="108"/>
    </row>
    <row r="59" spans="2:104">
      <c r="B59" s="20"/>
      <c r="C59" s="73"/>
      <c r="D59" s="73"/>
      <c r="E59" s="73"/>
      <c r="F59" s="73"/>
      <c r="G59" s="73"/>
      <c r="H59" s="73"/>
      <c r="I59" s="73"/>
      <c r="J59" s="73"/>
      <c r="K59" s="73"/>
      <c r="L59" s="73"/>
      <c r="M59" s="77"/>
      <c r="N59" s="1"/>
      <c r="O59" s="78"/>
      <c r="P59" s="78"/>
      <c r="Q59" s="78"/>
      <c r="R59" s="78"/>
      <c r="S59" s="78"/>
      <c r="T59" s="78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2:104">
      <c r="B60" s="20"/>
      <c r="C60" s="73"/>
      <c r="D60" s="73"/>
      <c r="E60" s="73"/>
      <c r="F60" s="73"/>
      <c r="G60" s="73"/>
      <c r="H60" s="73"/>
      <c r="I60" s="73"/>
      <c r="J60" s="73" t="s">
        <v>25</v>
      </c>
      <c r="K60" s="73"/>
      <c r="L60" s="73">
        <f>K21*D63*D64</f>
        <v>288000</v>
      </c>
      <c r="M60" s="77" t="s">
        <v>31</v>
      </c>
      <c r="N60" s="1">
        <v>16</v>
      </c>
      <c r="O60" s="78" t="s">
        <v>43</v>
      </c>
      <c r="P60" s="78"/>
      <c r="Q60" s="78"/>
      <c r="R60" s="78"/>
      <c r="S60" s="78"/>
      <c r="T60" s="78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2:104" ht="13.5" thickBot="1">
      <c r="B61" s="20"/>
      <c r="C61" s="73"/>
      <c r="D61" s="73"/>
      <c r="E61" s="73"/>
      <c r="F61" s="73"/>
      <c r="G61" s="73"/>
      <c r="H61" s="73"/>
      <c r="I61" s="73"/>
      <c r="J61" s="73"/>
      <c r="K61" s="73"/>
      <c r="L61" s="73">
        <f>(K21/(C75*C70))*D64</f>
        <v>10.90909090909091</v>
      </c>
      <c r="M61" s="77" t="s">
        <v>31</v>
      </c>
      <c r="N61" s="1">
        <v>6</v>
      </c>
      <c r="O61" s="78" t="s">
        <v>44</v>
      </c>
      <c r="P61" s="78"/>
      <c r="Q61" s="78"/>
      <c r="R61" s="78"/>
      <c r="S61" s="78"/>
      <c r="T61" s="78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H61" s="4" t="s">
        <v>69</v>
      </c>
      <c r="AL61" s="4">
        <f>IF($AH$68=1,$BG$54,0)</f>
        <v>0</v>
      </c>
    </row>
    <row r="62" spans="2:104" ht="13.5" thickBot="1">
      <c r="B62" s="80" t="s">
        <v>68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4"/>
      <c r="AH62" s="10"/>
      <c r="AI62" s="4" t="s">
        <v>70</v>
      </c>
      <c r="AL62" s="4">
        <f>IF($AH$68=2,$BK$54,0)</f>
        <v>0</v>
      </c>
    </row>
    <row r="63" spans="2:104">
      <c r="B63" s="32" t="s">
        <v>30</v>
      </c>
      <c r="C63" s="16"/>
      <c r="D63" s="16">
        <v>40</v>
      </c>
      <c r="E63" s="81" t="s">
        <v>60</v>
      </c>
      <c r="F63" s="16"/>
      <c r="G63" s="16"/>
      <c r="H63" s="16"/>
      <c r="I63" s="16"/>
      <c r="J63" s="16"/>
      <c r="K63" s="16"/>
      <c r="L63" s="16"/>
      <c r="M63" s="16"/>
      <c r="N63" s="16"/>
      <c r="O63" s="1" t="s">
        <v>23</v>
      </c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82">
        <f>AY21</f>
        <v>8880</v>
      </c>
      <c r="AH63" s="19"/>
      <c r="AI63" s="4" t="s">
        <v>71</v>
      </c>
      <c r="AL63" s="4" t="e">
        <f>IF($AH$68=3,$BN$54,0)</f>
        <v>#REF!</v>
      </c>
    </row>
    <row r="64" spans="2:104">
      <c r="B64" s="101" t="s">
        <v>42</v>
      </c>
      <c r="C64" s="86"/>
      <c r="D64" s="86">
        <v>0.6</v>
      </c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82"/>
      <c r="AH64" s="19">
        <v>3</v>
      </c>
      <c r="AI64" s="4" t="s">
        <v>72</v>
      </c>
      <c r="AL64" s="4">
        <f>IF($AH$68=4,$BQ$54,0)</f>
        <v>0</v>
      </c>
    </row>
    <row r="65" spans="2:38">
      <c r="B65" s="41" t="s">
        <v>54</v>
      </c>
      <c r="C65" s="16"/>
      <c r="D65" s="16">
        <v>2</v>
      </c>
      <c r="E65" s="21" t="s">
        <v>55</v>
      </c>
      <c r="F65" s="16"/>
      <c r="G65" s="16"/>
      <c r="H65" s="16"/>
      <c r="I65" s="16"/>
      <c r="J65" s="16"/>
      <c r="K65" s="16"/>
      <c r="L65" s="16"/>
      <c r="M65" s="16"/>
      <c r="N65" s="16"/>
      <c r="O65" s="1" t="s">
        <v>24</v>
      </c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82">
        <f>AZ21</f>
        <v>14000</v>
      </c>
      <c r="AH65" s="19"/>
      <c r="AI65" s="4" t="s">
        <v>73</v>
      </c>
      <c r="AL65" s="4">
        <f>IF($AH$68=5,$BT$54,0)</f>
        <v>0</v>
      </c>
    </row>
    <row r="66" spans="2:38">
      <c r="B66" s="53"/>
      <c r="C66" s="16"/>
      <c r="D66" s="22" t="s">
        <v>31</v>
      </c>
      <c r="E66" s="22">
        <f>CH6</f>
        <v>16</v>
      </c>
      <c r="F66" s="16"/>
      <c r="G66" s="16" t="s">
        <v>32</v>
      </c>
      <c r="H66" s="16"/>
      <c r="I66" s="16"/>
      <c r="J66" s="16"/>
      <c r="K66" s="16"/>
      <c r="L66" s="16"/>
      <c r="M66" s="83">
        <f>L21*D63*D64/C70</f>
        <v>267840</v>
      </c>
      <c r="N66" s="16"/>
      <c r="O66" s="1" t="s">
        <v>25</v>
      </c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82">
        <f>BA21</f>
        <v>10600</v>
      </c>
      <c r="AH66" s="19"/>
      <c r="AI66" s="4" t="s">
        <v>74</v>
      </c>
      <c r="AL66" s="4">
        <f>IF($AH$68=6,$BW$54,0)</f>
        <v>0</v>
      </c>
    </row>
    <row r="67" spans="2:38">
      <c r="B67" s="53"/>
      <c r="C67" s="16"/>
      <c r="D67" s="22"/>
      <c r="E67" s="22"/>
      <c r="F67" s="16"/>
      <c r="G67" s="16"/>
      <c r="H67" s="16"/>
      <c r="I67" s="16"/>
      <c r="J67" s="16"/>
      <c r="K67" s="16"/>
      <c r="L67" s="16"/>
      <c r="M67" s="34"/>
      <c r="N67" s="16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82"/>
      <c r="AH67" s="19"/>
      <c r="AI67" s="4" t="s">
        <v>75</v>
      </c>
      <c r="AL67" s="4" t="e">
        <f>SUM(AL61:AL66)</f>
        <v>#REF!</v>
      </c>
    </row>
    <row r="68" spans="2:38">
      <c r="B68" s="32"/>
      <c r="C68" s="16"/>
      <c r="D68" s="16"/>
      <c r="E68" s="22">
        <f>CH9</f>
        <v>6</v>
      </c>
      <c r="F68" s="16"/>
      <c r="G68" s="16" t="s">
        <v>41</v>
      </c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82"/>
      <c r="AH68" s="17">
        <f>SUM(AH62:AH67)</f>
        <v>3</v>
      </c>
    </row>
    <row r="69" spans="2:38" ht="12" customHeight="1">
      <c r="B69" s="84" t="s">
        <v>33</v>
      </c>
      <c r="C69" s="85">
        <f>(L21/(C70*C75))*D64</f>
        <v>30.436363636363634</v>
      </c>
      <c r="D69" s="22" t="s">
        <v>31</v>
      </c>
      <c r="E69" s="22">
        <f>MAX(E68,E66)</f>
        <v>16</v>
      </c>
      <c r="F69" s="16"/>
      <c r="G69" s="86" t="s">
        <v>57</v>
      </c>
      <c r="H69" s="16"/>
      <c r="I69" s="16"/>
      <c r="J69" s="16"/>
      <c r="K69" s="16"/>
      <c r="L69" s="16"/>
      <c r="M69" s="16"/>
      <c r="N69" s="87"/>
      <c r="O69" s="87" t="s">
        <v>28</v>
      </c>
      <c r="P69" s="87"/>
      <c r="Q69" s="87"/>
      <c r="R69" s="87"/>
      <c r="S69" s="87"/>
      <c r="T69" s="87"/>
      <c r="U69" s="85"/>
      <c r="V69" s="85"/>
      <c r="W69" s="85"/>
      <c r="X69" s="85"/>
      <c r="Y69" s="85"/>
      <c r="Z69" s="85"/>
      <c r="AA69" s="85"/>
      <c r="AB69" s="85"/>
      <c r="AC69" s="85"/>
      <c r="AD69" s="85"/>
      <c r="AE69" s="85"/>
      <c r="AF69" s="88">
        <f>(AF63+AF65+AF66)/3</f>
        <v>11160</v>
      </c>
    </row>
    <row r="70" spans="2:38" ht="12" customHeight="1">
      <c r="B70" s="89" t="s">
        <v>39</v>
      </c>
      <c r="C70" s="22">
        <v>3</v>
      </c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90"/>
    </row>
    <row r="71" spans="2:38" ht="12" customHeight="1">
      <c r="B71" s="91" t="s">
        <v>34</v>
      </c>
      <c r="C71" s="16">
        <v>1</v>
      </c>
      <c r="D71" s="16"/>
      <c r="E71" s="16" t="s">
        <v>35</v>
      </c>
      <c r="F71" s="16"/>
      <c r="G71" s="16"/>
      <c r="H71" s="16"/>
      <c r="I71" s="16"/>
      <c r="J71" s="16"/>
      <c r="K71" s="16"/>
      <c r="L71" s="16"/>
      <c r="M71" s="16"/>
      <c r="N71" s="81"/>
      <c r="O71" s="22" t="s">
        <v>58</v>
      </c>
      <c r="P71" s="22"/>
      <c r="Q71" s="22"/>
      <c r="R71" s="22"/>
      <c r="S71" s="22"/>
      <c r="T71" s="22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92">
        <f>MAX(AF63,AF65)</f>
        <v>14000</v>
      </c>
    </row>
    <row r="72" spans="2:38" ht="12" customHeight="1">
      <c r="B72" s="91" t="s">
        <v>34</v>
      </c>
      <c r="C72" s="16">
        <v>1.73</v>
      </c>
      <c r="D72" s="16"/>
      <c r="E72" s="16" t="s">
        <v>36</v>
      </c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23"/>
    </row>
    <row r="73" spans="2:38">
      <c r="B73" s="91" t="s">
        <v>34</v>
      </c>
      <c r="C73" s="16">
        <v>2</v>
      </c>
      <c r="D73" s="16"/>
      <c r="E73" s="16" t="s">
        <v>37</v>
      </c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23"/>
    </row>
    <row r="74" spans="2:38">
      <c r="B74" s="91" t="s">
        <v>34</v>
      </c>
      <c r="C74" s="16">
        <v>3</v>
      </c>
      <c r="D74" s="16"/>
      <c r="E74" s="16" t="s">
        <v>38</v>
      </c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23"/>
    </row>
    <row r="75" spans="2:38">
      <c r="B75" s="91" t="s">
        <v>40</v>
      </c>
      <c r="C75" s="16">
        <v>220</v>
      </c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23"/>
    </row>
    <row r="76" spans="2:38" ht="13.5" thickBot="1">
      <c r="B76" s="75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8"/>
    </row>
  </sheetData>
  <mergeCells count="1">
    <mergeCell ref="B3:O3"/>
  </mergeCells>
  <pageMargins left="0.78740157499999996" right="0.78740157499999996" top="0.984251969" bottom="0.984251969" header="0.49212598499999999" footer="0.49212598499999999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ENG ALIMENTOS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Cliente Especial</dc:creator>
  <cp:lastModifiedBy>Vitorino</cp:lastModifiedBy>
  <cp:lastPrinted>2014-10-19T14:57:58Z</cp:lastPrinted>
  <dcterms:created xsi:type="dcterms:W3CDTF">2001-07-29T20:10:50Z</dcterms:created>
  <dcterms:modified xsi:type="dcterms:W3CDTF">2014-10-19T17:31:43Z</dcterms:modified>
</cp:coreProperties>
</file>